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660" activeTab="0"/>
  </bookViews>
  <sheets>
    <sheet name="Bodování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<sst xmlns="http://schemas.openxmlformats.org/spreadsheetml/2006/main" count="294" uniqueCount="123">
  <si>
    <t>Pořadí</t>
  </si>
  <si>
    <t>el.=0</t>
  </si>
  <si>
    <r>
      <t>Řazení družstva :</t>
    </r>
    <r>
      <rPr>
        <sz val="10"/>
        <rFont val="Times New Roman CE"/>
        <family val="0"/>
      </rPr>
      <t xml:space="preserve"> na 1. až 3. místě výškaři, na 3. až 5. místě dálkaři</t>
    </r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</si>
  <si>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</si>
  <si>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</si>
  <si>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</si>
  <si>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</si>
  <si>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</si>
  <si>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</si>
  <si>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</si>
  <si>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</si>
  <si>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</si>
  <si>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</si>
  <si>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</si>
  <si>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</si>
  <si>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</si>
  <si>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</si>
  <si>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</si>
  <si>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</si>
  <si>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</si>
  <si>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</si>
  <si>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</si>
  <si>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</si>
  <si>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</si>
  <si>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Pomocný výpočet</t>
  </si>
  <si>
    <t>:</t>
  </si>
  <si>
    <r>
      <t>Setřídění tabulky :</t>
    </r>
    <r>
      <rPr>
        <sz val="10"/>
        <rFont val="Times New Roman CE"/>
        <family val="1"/>
      </rPr>
      <t xml:space="preserve"> označ blok  </t>
    </r>
    <r>
      <rPr>
        <b/>
        <sz val="10"/>
        <rFont val="Times New Roman CE"/>
        <family val="0"/>
      </rPr>
      <t>C5 - V74</t>
    </r>
  </si>
  <si>
    <t>Data - Seřadit -</t>
  </si>
  <si>
    <r>
      <t xml:space="preserve">podle sloupce </t>
    </r>
    <r>
      <rPr>
        <b/>
        <sz val="10"/>
        <rFont val="Arial"/>
        <family val="2"/>
      </rPr>
      <t>G</t>
    </r>
    <r>
      <rPr>
        <b/>
        <sz val="10"/>
        <rFont val="Arial CE"/>
        <family val="0"/>
      </rPr>
      <t xml:space="preserve"> </t>
    </r>
    <r>
      <rPr>
        <sz val="10"/>
        <rFont val="Arial"/>
        <family val="0"/>
      </rPr>
      <t>- sestupně</t>
    </r>
  </si>
  <si>
    <t>800m</t>
  </si>
  <si>
    <t>AČ 2004 KŠ</t>
  </si>
  <si>
    <t>Heslo : pr</t>
  </si>
  <si>
    <t>VYS</t>
  </si>
  <si>
    <t>ZŠ Oslavická V. Meziříčí</t>
  </si>
  <si>
    <t>ZŠ Nádražní Bysřice n. P.</t>
  </si>
  <si>
    <t>ŽŠ Školní Velké Meziříčí</t>
  </si>
  <si>
    <t>ZŠ Velká Bíteš</t>
  </si>
  <si>
    <t>ZŠ T.G.M. Bystřice n. P.</t>
  </si>
  <si>
    <t>y1</t>
  </si>
  <si>
    <t>y2</t>
  </si>
  <si>
    <t>y3</t>
  </si>
  <si>
    <t>y4</t>
  </si>
  <si>
    <t>y5</t>
  </si>
  <si>
    <t>z1</t>
  </si>
  <si>
    <t>z2</t>
  </si>
  <si>
    <t>z3</t>
  </si>
  <si>
    <t>z4</t>
  </si>
  <si>
    <t>z5</t>
  </si>
  <si>
    <t>Matoušek Tadeáš</t>
  </si>
  <si>
    <t>Prášil Radim</t>
  </si>
  <si>
    <t>Pátek Radim</t>
  </si>
  <si>
    <t>Hugo Michal</t>
  </si>
  <si>
    <t>Gymnázium Bystřice n. P.</t>
  </si>
  <si>
    <t>Žilka Jakub</t>
  </si>
  <si>
    <t>ZŠ Švermova Žďár n. S.</t>
  </si>
  <si>
    <t>ZŠ Komenského 2, Žďár n. S.</t>
  </si>
  <si>
    <t>MLADŠÍ  ŽÁCI   Atletický čtyřboj 2016</t>
  </si>
  <si>
    <t>Gymnázium Velké Meziříčí</t>
  </si>
  <si>
    <t>ZŠ Měřín</t>
  </si>
  <si>
    <t>Švanda Dominik</t>
  </si>
  <si>
    <t>Smolík Petr</t>
  </si>
  <si>
    <t>Ludvík Rostislav</t>
  </si>
  <si>
    <t>Toman Antonín</t>
  </si>
  <si>
    <t>Bantianidis Athanasios</t>
  </si>
  <si>
    <t>Lacina Jakub</t>
  </si>
  <si>
    <t>Zedník Vojtěch</t>
  </si>
  <si>
    <t>Novák Jan</t>
  </si>
  <si>
    <t>Jonáš Petr</t>
  </si>
  <si>
    <t>Jonáš Radek</t>
  </si>
  <si>
    <t>Špaček Matouš</t>
  </si>
  <si>
    <t>Vokoun Petr</t>
  </si>
  <si>
    <t>Havlíček Vít</t>
  </si>
  <si>
    <t>Sobotka Viktor</t>
  </si>
  <si>
    <t>Turza Jan</t>
  </si>
  <si>
    <t>Dobejval Lukáš</t>
  </si>
  <si>
    <t>Březka Ivo</t>
  </si>
  <si>
    <t>Rohovský Vít</t>
  </si>
  <si>
    <t>Zdvihal Šimon</t>
  </si>
  <si>
    <t>Tranda František</t>
  </si>
  <si>
    <t>Uherka Michal</t>
  </si>
  <si>
    <t>Sláma Daniel</t>
  </si>
  <si>
    <t>Kment Vojtěch</t>
  </si>
  <si>
    <t>Komrska Karel</t>
  </si>
  <si>
    <t>Honeš Šimon</t>
  </si>
  <si>
    <t>Stejskal Josef</t>
  </si>
  <si>
    <t>Tomášek Jiří</t>
  </si>
  <si>
    <t>Kamarád Václav</t>
  </si>
  <si>
    <t>Trojan Jakub</t>
  </si>
  <si>
    <t>Dvořák Josef</t>
  </si>
  <si>
    <t>Vavroušek David</t>
  </si>
  <si>
    <t>Čermák Jiří</t>
  </si>
  <si>
    <t>Valenta Jaroslav</t>
  </si>
  <si>
    <t>Vařejka Jan</t>
  </si>
  <si>
    <t>Vařejka Karel</t>
  </si>
  <si>
    <t>Zeman Stanislav</t>
  </si>
  <si>
    <t>Kobza Michal</t>
  </si>
  <si>
    <t>ZŠ Sokolovská Velké Meziříčí</t>
  </si>
  <si>
    <t>Jaša Adam</t>
  </si>
  <si>
    <t>Kudláček Jan</t>
  </si>
  <si>
    <t>Šimánek Štěpán</t>
  </si>
  <si>
    <t>Kutil Dušan</t>
  </si>
  <si>
    <t>Gymnázium Žďár n. S.</t>
  </si>
  <si>
    <t>Kunc Martin</t>
  </si>
  <si>
    <t>Krejčí Adam</t>
  </si>
  <si>
    <t>Bouček Matěj</t>
  </si>
  <si>
    <t>Hladký Marek</t>
  </si>
  <si>
    <t>Budzinski Marek</t>
  </si>
  <si>
    <t>1. ZŠ Nové Město na Moravě</t>
  </si>
  <si>
    <t>Dobrovolný Tadeáš</t>
  </si>
  <si>
    <t>Hrouda František</t>
  </si>
  <si>
    <t>Němeček Jan</t>
  </si>
  <si>
    <t>Lempera Radim</t>
  </si>
  <si>
    <t>Janů Petr</t>
  </si>
  <si>
    <t>Stránský David</t>
  </si>
  <si>
    <t xml:space="preserve">Kubík Petr </t>
  </si>
  <si>
    <t>Sukup Štěpán</t>
  </si>
  <si>
    <t>Pelikán Matěj</t>
  </si>
  <si>
    <t>Klíma Tomáš</t>
  </si>
  <si>
    <t>Tůma Tomáš</t>
  </si>
  <si>
    <t>Fiala Štěpán</t>
  </si>
  <si>
    <t>Buriánek Michal</t>
  </si>
  <si>
    <t>MLADŠÍ  ŽÁCI   Atletický čtyřboj ( 2.6.2016 ve Žďáře nad Sázavou )</t>
  </si>
  <si>
    <t>XXX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</si>
</sst>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405]d\.\ mmmm\ yyyy"/>
    <numFmt numFmtId="167" formatCode="0.0000"/>
    <numFmt numFmtId="168" formatCode="00.00"/>
  </numFmts>
  <fonts count="52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Alignment="1">
      <alignment/>
    </xf>
    <xf numFmtId="0" fontId="5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1" fontId="6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" fontId="5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167" fontId="6" fillId="0" borderId="24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" fontId="4" fillId="0" borderId="10" xfId="0" applyNumberFormat="1" applyFont="1" applyBorder="1" applyAlignment="1">
      <alignment horizontal="right"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167" fontId="6" fillId="0" borderId="25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1" fontId="6" fillId="0" borderId="27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9" fillId="0" borderId="31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2" fontId="0" fillId="34" borderId="19" xfId="0" applyNumberForma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24" xfId="0" applyFont="1" applyBorder="1" applyAlignment="1" applyProtection="1">
      <alignment/>
      <protection locked="0"/>
    </xf>
    <xf numFmtId="1" fontId="6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 applyProtection="1">
      <alignment/>
      <protection locked="0"/>
    </xf>
    <xf numFmtId="1" fontId="6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1" fontId="6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8" fillId="35" borderId="38" xfId="0" applyFont="1" applyFill="1" applyBorder="1" applyAlignment="1" applyProtection="1">
      <alignment/>
      <protection locked="0"/>
    </xf>
    <xf numFmtId="0" fontId="8" fillId="35" borderId="39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8" fillId="35" borderId="32" xfId="0" applyFont="1" applyFill="1" applyBorder="1" applyAlignment="1" applyProtection="1">
      <alignment/>
      <protection locked="0"/>
    </xf>
    <xf numFmtId="168" fontId="1" fillId="35" borderId="25" xfId="0" applyNumberFormat="1" applyFont="1" applyFill="1" applyBorder="1" applyAlignment="1">
      <alignment horizontal="right"/>
    </xf>
    <xf numFmtId="168" fontId="1" fillId="35" borderId="24" xfId="0" applyNumberFormat="1" applyFont="1" applyFill="1" applyBorder="1" applyAlignment="1">
      <alignment horizontal="right"/>
    </xf>
    <xf numFmtId="168" fontId="1" fillId="35" borderId="0" xfId="0" applyNumberFormat="1" applyFont="1" applyFill="1" applyBorder="1" applyAlignment="1">
      <alignment horizontal="right"/>
    </xf>
    <xf numFmtId="168" fontId="1" fillId="35" borderId="19" xfId="0" applyNumberFormat="1" applyFont="1" applyFill="1" applyBorder="1" applyAlignment="1">
      <alignment horizontal="right"/>
    </xf>
    <xf numFmtId="0" fontId="1" fillId="35" borderId="32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right"/>
    </xf>
    <xf numFmtId="0" fontId="1" fillId="35" borderId="41" xfId="0" applyFont="1" applyFill="1" applyBorder="1" applyAlignment="1">
      <alignment horizontal="right"/>
    </xf>
    <xf numFmtId="2" fontId="1" fillId="35" borderId="32" xfId="0" applyNumberFormat="1" applyFont="1" applyFill="1" applyBorder="1" applyAlignment="1">
      <alignment horizontal="right"/>
    </xf>
    <xf numFmtId="2" fontId="1" fillId="35" borderId="39" xfId="0" applyNumberFormat="1" applyFont="1" applyFill="1" applyBorder="1" applyAlignment="1">
      <alignment horizontal="right"/>
    </xf>
    <xf numFmtId="2" fontId="1" fillId="35" borderId="40" xfId="0" applyNumberFormat="1" applyFont="1" applyFill="1" applyBorder="1" applyAlignment="1">
      <alignment horizontal="right"/>
    </xf>
    <xf numFmtId="2" fontId="1" fillId="35" borderId="41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4" xfId="0" applyFont="1" applyFill="1" applyBorder="1" applyAlignment="1">
      <alignment horizontal="right"/>
    </xf>
    <xf numFmtId="1" fontId="6" fillId="34" borderId="14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1" fillId="34" borderId="13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1" fontId="6" fillId="0" borderId="23" xfId="0" applyNumberFormat="1" applyFont="1" applyFill="1" applyBorder="1" applyAlignment="1" quotePrefix="1">
      <alignment horizontal="left"/>
    </xf>
    <xf numFmtId="14" fontId="6" fillId="0" borderId="23" xfId="0" applyNumberFormat="1" applyFont="1" applyFill="1" applyBorder="1" applyAlignment="1" quotePrefix="1">
      <alignment/>
    </xf>
    <xf numFmtId="2" fontId="4" fillId="0" borderId="23" xfId="0" applyNumberFormat="1" applyFont="1" applyFill="1" applyBorder="1" applyAlignment="1" quotePrefix="1">
      <alignment horizontal="center"/>
    </xf>
    <xf numFmtId="0" fontId="5" fillId="0" borderId="23" xfId="0" applyFon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1" fontId="4" fillId="0" borderId="23" xfId="0" applyNumberFormat="1" applyFont="1" applyFill="1" applyBorder="1" applyAlignment="1" quotePrefix="1">
      <alignment horizontal="center"/>
    </xf>
    <xf numFmtId="1" fontId="5" fillId="0" borderId="23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 quotePrefix="1">
      <alignment horizontal="center"/>
    </xf>
    <xf numFmtId="1" fontId="5" fillId="0" borderId="23" xfId="0" applyNumberFormat="1" applyFont="1" applyFill="1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14" fontId="6" fillId="0" borderId="23" xfId="0" applyNumberFormat="1" applyFont="1" applyBorder="1" applyAlignment="1" quotePrefix="1">
      <alignment horizontal="center"/>
    </xf>
    <xf numFmtId="1" fontId="6" fillId="0" borderId="23" xfId="0" applyNumberFormat="1" applyFont="1" applyBorder="1" applyAlignment="1" quotePrefix="1">
      <alignment horizontal="center"/>
    </xf>
    <xf numFmtId="1" fontId="7" fillId="0" borderId="23" xfId="0" applyNumberFormat="1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7" fillId="0" borderId="23" xfId="0" applyNumberFormat="1" applyFont="1" applyBorder="1" applyAlignment="1" quotePrefix="1">
      <alignment horizontal="left"/>
    </xf>
    <xf numFmtId="0" fontId="13" fillId="0" borderId="23" xfId="0" applyFont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44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4" xfId="0" applyFont="1" applyBorder="1" applyAlignment="1" applyProtection="1">
      <alignment/>
      <protection locked="0"/>
    </xf>
    <xf numFmtId="0" fontId="8" fillId="35" borderId="16" xfId="0" applyFont="1" applyFill="1" applyBorder="1" applyAlignment="1" applyProtection="1">
      <alignment/>
      <protection locked="0"/>
    </xf>
    <xf numFmtId="167" fontId="6" fillId="0" borderId="47" xfId="0" applyNumberFormat="1" applyFont="1" applyBorder="1" applyAlignment="1">
      <alignment/>
    </xf>
    <xf numFmtId="168" fontId="1" fillId="35" borderId="47" xfId="0" applyNumberFormat="1" applyFont="1" applyFill="1" applyBorder="1" applyAlignment="1">
      <alignment horizontal="right"/>
    </xf>
    <xf numFmtId="1" fontId="6" fillId="0" borderId="34" xfId="0" applyNumberFormat="1" applyFont="1" applyBorder="1" applyAlignment="1">
      <alignment horizontal="right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8" fillId="35" borderId="17" xfId="0" applyFont="1" applyFill="1" applyBorder="1" applyAlignment="1" applyProtection="1">
      <alignment/>
      <protection locked="0"/>
    </xf>
    <xf numFmtId="167" fontId="6" fillId="0" borderId="11" xfId="0" applyNumberFormat="1" applyFont="1" applyBorder="1" applyAlignment="1">
      <alignment/>
    </xf>
    <xf numFmtId="168" fontId="1" fillId="35" borderId="11" xfId="0" applyNumberFormat="1" applyFont="1" applyFill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47" xfId="0" applyFont="1" applyBorder="1" applyAlignment="1" applyProtection="1">
      <alignment/>
      <protection locked="0"/>
    </xf>
    <xf numFmtId="1" fontId="6" fillId="0" borderId="47" xfId="0" applyNumberFormat="1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0" borderId="47" xfId="0" applyBorder="1" applyAlignment="1">
      <alignment/>
    </xf>
    <xf numFmtId="0" fontId="5" fillId="33" borderId="48" xfId="0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8" fillId="35" borderId="53" xfId="0" applyNumberFormat="1" applyFont="1" applyFill="1" applyBorder="1" applyAlignment="1">
      <alignment horizontal="right"/>
    </xf>
    <xf numFmtId="164" fontId="8" fillId="35" borderId="20" xfId="0" applyNumberFormat="1" applyFont="1" applyFill="1" applyBorder="1" applyAlignment="1">
      <alignment horizontal="right"/>
    </xf>
    <xf numFmtId="164" fontId="8" fillId="35" borderId="21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/>
    </xf>
    <xf numFmtId="164" fontId="1" fillId="34" borderId="18" xfId="0" applyNumberFormat="1" applyFont="1" applyFill="1" applyBorder="1" applyAlignment="1">
      <alignment/>
    </xf>
    <xf numFmtId="164" fontId="1" fillId="35" borderId="53" xfId="0" applyNumberFormat="1" applyFont="1" applyFill="1" applyBorder="1" applyAlignment="1">
      <alignment horizontal="right"/>
    </xf>
    <xf numFmtId="164" fontId="1" fillId="35" borderId="20" xfId="0" applyNumberFormat="1" applyFont="1" applyFill="1" applyBorder="1" applyAlignment="1">
      <alignment horizontal="right"/>
    </xf>
    <xf numFmtId="164" fontId="1" fillId="35" borderId="21" xfId="0" applyNumberFormat="1" applyFont="1" applyFill="1" applyBorder="1" applyAlignment="1">
      <alignment horizontal="right"/>
    </xf>
    <xf numFmtId="164" fontId="1" fillId="35" borderId="54" xfId="0" applyNumberFormat="1" applyFont="1" applyFill="1" applyBorder="1" applyAlignment="1">
      <alignment horizontal="right"/>
    </xf>
    <xf numFmtId="164" fontId="1" fillId="35" borderId="55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8" fontId="0" fillId="0" borderId="23" xfId="0" applyNumberFormat="1" applyFill="1" applyBorder="1" applyAlignment="1">
      <alignment horizontal="left"/>
    </xf>
    <xf numFmtId="1" fontId="4" fillId="0" borderId="23" xfId="0" applyNumberFormat="1" applyFont="1" applyFill="1" applyBorder="1" applyAlignment="1" quotePrefix="1">
      <alignment/>
    </xf>
    <xf numFmtId="168" fontId="4" fillId="0" borderId="23" xfId="0" applyNumberFormat="1" applyFont="1" applyFill="1" applyBorder="1" applyAlignment="1" quotePrefix="1">
      <alignment horizontal="left"/>
    </xf>
    <xf numFmtId="0" fontId="0" fillId="0" borderId="23" xfId="0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14" fontId="51" fillId="0" borderId="23" xfId="0" applyNumberFormat="1" applyFont="1" applyFill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pane xSplit="4" ySplit="4" topLeftCell="E5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0" sqref="C110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31.57421875" style="0" customWidth="1"/>
    <col min="4" max="4" width="4.00390625" style="0" customWidth="1"/>
    <col min="5" max="5" width="4.28125" style="0" customWidth="1"/>
    <col min="6" max="6" width="9.00390625" style="0" customWidth="1"/>
    <col min="7" max="7" width="5.421875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7.5742187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0" max="20" width="10.00390625" style="0" customWidth="1"/>
    <col min="21" max="21" width="4.7109375" style="0" hidden="1" customWidth="1"/>
    <col min="22" max="22" width="5.28125" style="0" hidden="1" customWidth="1"/>
  </cols>
  <sheetData>
    <row r="1" spans="1:19" ht="15.75">
      <c r="A1" s="1"/>
      <c r="B1" s="2" t="s">
        <v>1</v>
      </c>
      <c r="C1" s="3" t="s">
        <v>56</v>
      </c>
      <c r="D1" s="4"/>
      <c r="E1" s="4"/>
      <c r="F1" s="2"/>
      <c r="G1" s="2"/>
      <c r="H1" s="87" t="s">
        <v>30</v>
      </c>
      <c r="I1" s="1"/>
      <c r="J1" s="57" t="s">
        <v>26</v>
      </c>
      <c r="K1" s="58"/>
      <c r="L1" s="58"/>
      <c r="M1" s="58"/>
      <c r="N1" s="58"/>
      <c r="O1" s="59"/>
      <c r="P1" s="60"/>
      <c r="Q1" s="1"/>
      <c r="R1" s="88" t="s">
        <v>31</v>
      </c>
      <c r="S1" s="88"/>
    </row>
    <row r="2" spans="1:19" ht="12.75">
      <c r="A2" s="1"/>
      <c r="B2" s="2"/>
      <c r="C2" s="3" t="s">
        <v>2</v>
      </c>
      <c r="D2" s="4"/>
      <c r="E2" s="4"/>
      <c r="F2" s="2"/>
      <c r="G2" s="2"/>
      <c r="H2" s="5"/>
      <c r="I2" s="1"/>
      <c r="J2" s="61" t="s">
        <v>27</v>
      </c>
      <c r="K2" s="58"/>
      <c r="L2" s="58"/>
      <c r="M2" s="58"/>
      <c r="N2" s="58"/>
      <c r="O2" s="58"/>
      <c r="P2" s="58"/>
      <c r="Q2" s="1"/>
      <c r="R2" s="1"/>
      <c r="S2" s="1"/>
    </row>
    <row r="3" spans="1:19" ht="12.75">
      <c r="A3" s="1"/>
      <c r="B3" s="2"/>
      <c r="C3" s="65"/>
      <c r="D3" s="66"/>
      <c r="E3" s="66"/>
      <c r="F3" s="35"/>
      <c r="G3" s="35"/>
      <c r="H3" s="67"/>
      <c r="I3" s="68"/>
      <c r="J3" s="69" t="s">
        <v>28</v>
      </c>
      <c r="K3" s="70"/>
      <c r="L3" s="70"/>
      <c r="M3" s="69"/>
      <c r="N3" s="69"/>
      <c r="O3" s="62"/>
      <c r="P3" s="62"/>
      <c r="Q3" s="35"/>
      <c r="R3" s="35"/>
      <c r="S3" s="35"/>
    </row>
    <row r="4" spans="1:21" ht="13.5" thickBot="1">
      <c r="A4" s="6" t="s">
        <v>3</v>
      </c>
      <c r="B4" s="7" t="s">
        <v>4</v>
      </c>
      <c r="C4" s="63" t="s">
        <v>5</v>
      </c>
      <c r="D4" s="6" t="s">
        <v>6</v>
      </c>
      <c r="E4" s="6" t="s">
        <v>7</v>
      </c>
      <c r="F4" s="8" t="s">
        <v>8</v>
      </c>
      <c r="G4" s="8"/>
      <c r="H4" s="34" t="s">
        <v>9</v>
      </c>
      <c r="I4" s="64" t="s">
        <v>10</v>
      </c>
      <c r="J4" s="215" t="s">
        <v>11</v>
      </c>
      <c r="K4" s="216"/>
      <c r="L4" s="216"/>
      <c r="M4" s="43" t="s">
        <v>10</v>
      </c>
      <c r="N4" s="36" t="s">
        <v>12</v>
      </c>
      <c r="O4" s="47" t="s">
        <v>10</v>
      </c>
      <c r="P4" s="36" t="s">
        <v>13</v>
      </c>
      <c r="Q4" s="43" t="s">
        <v>10</v>
      </c>
      <c r="R4" s="36" t="s">
        <v>14</v>
      </c>
      <c r="S4" s="43" t="s">
        <v>10</v>
      </c>
      <c r="U4" s="18" t="s">
        <v>24</v>
      </c>
    </row>
    <row r="5" spans="1:19" ht="13.5" thickBot="1">
      <c r="A5" s="139">
        <f>Družstva!A7</f>
        <v>1</v>
      </c>
      <c r="B5" s="23">
        <v>1</v>
      </c>
      <c r="C5" s="10" t="s">
        <v>52</v>
      </c>
      <c r="D5" s="11"/>
      <c r="E5" s="13" t="s">
        <v>32</v>
      </c>
      <c r="F5" s="56">
        <f>SUM(F6:F10)-MIN(F6:F10)</f>
        <v>3954</v>
      </c>
      <c r="G5" s="19">
        <f>F5</f>
        <v>3954</v>
      </c>
      <c r="H5" s="105"/>
      <c r="I5" s="106"/>
      <c r="J5" s="107"/>
      <c r="K5" s="107"/>
      <c r="L5" s="108"/>
      <c r="M5" s="109"/>
      <c r="N5" s="110"/>
      <c r="O5" s="111"/>
      <c r="P5" s="110"/>
      <c r="Q5" s="111"/>
      <c r="R5" s="112"/>
      <c r="S5" s="113"/>
    </row>
    <row r="6" spans="1:24" ht="13.5" thickBot="1">
      <c r="A6" s="140"/>
      <c r="B6" s="138">
        <f>Jednotlivci!L7</f>
        <v>1</v>
      </c>
      <c r="C6" s="15" t="s">
        <v>59</v>
      </c>
      <c r="D6" s="141"/>
      <c r="E6" s="142"/>
      <c r="F6" s="52">
        <f>I6+M6+O6+Q6+S6</f>
        <v>1000</v>
      </c>
      <c r="G6" s="20">
        <f>F5</f>
        <v>3954</v>
      </c>
      <c r="H6" s="190">
        <v>8.9</v>
      </c>
      <c r="I6" s="153">
        <f>IF(AND(H6&gt;6.8,H6&lt;11.3),IF(B$5=1,ROUNDDOWN(58.015*(11.26-H6)^1.81,0),ROUNDDOWN(58.015*(11.5-H6)^1.81,)),0)</f>
        <v>274</v>
      </c>
      <c r="J6" s="154">
        <v>2</v>
      </c>
      <c r="K6" s="155" t="s">
        <v>25</v>
      </c>
      <c r="L6" s="156">
        <v>51.86</v>
      </c>
      <c r="M6" s="157">
        <f>V6</f>
        <v>284</v>
      </c>
      <c r="N6" s="100">
        <v>135</v>
      </c>
      <c r="O6" s="76">
        <f>IF(AND(N6&gt;75),ROUNDDOWN(0.8465*(N6-75)^1.42,0),0)</f>
        <v>283</v>
      </c>
      <c r="P6" s="100">
        <v>0</v>
      </c>
      <c r="Q6" s="76">
        <f>IF(AND(P6&gt;210),ROUNDDOWN(0.14354*(P6-220)^1.4,0),0)</f>
        <v>0</v>
      </c>
      <c r="R6" s="104">
        <v>32</v>
      </c>
      <c r="S6" s="158">
        <f>IF(AND(R6&gt;10),ROUNDDOWN(5.33*(R6-10)^1.1,0),0)</f>
        <v>159</v>
      </c>
      <c r="U6" s="25">
        <f>J6*60+L6</f>
        <v>171.86</v>
      </c>
      <c r="V6" s="26">
        <f>IF(U6&gt;0,(INT(POWER(235-U6,1.85)*0.13279)),0)</f>
        <v>284</v>
      </c>
      <c r="W6" s="31"/>
      <c r="X6" s="18"/>
    </row>
    <row r="7" spans="1:22" ht="13.5" thickBot="1">
      <c r="A7" s="143"/>
      <c r="B7" s="138">
        <f>Jednotlivci!L8</f>
        <v>2</v>
      </c>
      <c r="C7" s="9" t="s">
        <v>60</v>
      </c>
      <c r="D7" s="141"/>
      <c r="E7" s="142"/>
      <c r="F7" s="53">
        <f>I7+M7+O7+Q7+S7</f>
        <v>1131</v>
      </c>
      <c r="G7" s="21">
        <f>F5</f>
        <v>3954</v>
      </c>
      <c r="H7" s="191">
        <v>8.7</v>
      </c>
      <c r="I7" s="40">
        <f>IF(AND(H7&gt;6.8,H7&lt;11.3),IF(B$5=1,ROUNDDOWN(58.015*(11.26-H7)^1.81,0),ROUNDDOWN(58.015*(11.5-H7)^1.81,)),0)</f>
        <v>318</v>
      </c>
      <c r="J7" s="90">
        <v>2</v>
      </c>
      <c r="K7" s="27" t="s">
        <v>25</v>
      </c>
      <c r="L7" s="94">
        <v>55.64</v>
      </c>
      <c r="M7" s="44">
        <f>V7</f>
        <v>253</v>
      </c>
      <c r="N7" s="98">
        <v>145</v>
      </c>
      <c r="O7" s="48">
        <f>IF(AND(N7&gt;75),ROUNDDOWN(0.8465*(N7-75)^1.42,0),0)</f>
        <v>352</v>
      </c>
      <c r="P7" s="98">
        <v>0</v>
      </c>
      <c r="Q7" s="48">
        <f>IF(AND(P7&gt;210),ROUNDDOWN(0.14354*(P7-220)^1.4,0),0)</f>
        <v>0</v>
      </c>
      <c r="R7" s="102">
        <v>38</v>
      </c>
      <c r="S7" s="159">
        <f>IF(AND(R7&gt;10),ROUNDDOWN(5.33*(R7-10)^1.1,0),0)</f>
        <v>208</v>
      </c>
      <c r="U7" s="25">
        <f>J7*60+L7</f>
        <v>175.64</v>
      </c>
      <c r="V7" s="26">
        <f>IF(U7&gt;0,(INT(POWER(235-U7,1.85)*0.13279)),0)</f>
        <v>253</v>
      </c>
    </row>
    <row r="8" spans="1:22" ht="13.5" thickBot="1">
      <c r="A8" s="143"/>
      <c r="B8" s="138">
        <f>Jednotlivci!L9</f>
        <v>3</v>
      </c>
      <c r="C8" s="9" t="s">
        <v>53</v>
      </c>
      <c r="D8" s="141"/>
      <c r="E8" s="142"/>
      <c r="F8" s="53">
        <f>I8+M8+O8+Q8+S8</f>
        <v>863</v>
      </c>
      <c r="G8" s="21">
        <f>F5</f>
        <v>3954</v>
      </c>
      <c r="H8" s="191">
        <v>9.1</v>
      </c>
      <c r="I8" s="39">
        <f>IF(AND(H8&gt;6.8,H8&lt;11.3),IF(B$5=1,ROUNDDOWN(58.015*(11.26-H8)^1.81,0),ROUNDDOWN(58.015*(11.5-H8)^1.81,)),0)</f>
        <v>233</v>
      </c>
      <c r="J8" s="91">
        <v>3</v>
      </c>
      <c r="K8" s="28" t="s">
        <v>25</v>
      </c>
      <c r="L8" s="95">
        <v>13.39</v>
      </c>
      <c r="M8" s="45">
        <f>V8</f>
        <v>131</v>
      </c>
      <c r="N8" s="98"/>
      <c r="O8" s="49">
        <f>IF(AND(N8&gt;75),ROUNDDOWN(0.8465*(N8-75)^1.42,0),0)</f>
        <v>0</v>
      </c>
      <c r="P8" s="98">
        <v>380</v>
      </c>
      <c r="Q8" s="49">
        <f>IF(AND(P8&gt;210),ROUNDDOWN(0.14354*(P8-220)^1.4,0),0)</f>
        <v>174</v>
      </c>
      <c r="R8" s="102">
        <v>52</v>
      </c>
      <c r="S8" s="160">
        <f>IF(AND(R8&gt;10),ROUNDDOWN(5.33*(R8-10)^1.1,0),0)</f>
        <v>325</v>
      </c>
      <c r="U8" s="25">
        <f>J8*60+L8</f>
        <v>193.39</v>
      </c>
      <c r="V8" s="26">
        <f>IF(U8&gt;0,(INT(POWER(235-U8,1.85)*0.13279)),0)</f>
        <v>131</v>
      </c>
    </row>
    <row r="9" spans="1:22" ht="13.5" thickBot="1">
      <c r="A9" s="143"/>
      <c r="B9" s="138">
        <f>Jednotlivci!L10</f>
        <v>4</v>
      </c>
      <c r="C9" s="9" t="s">
        <v>61</v>
      </c>
      <c r="D9" s="141"/>
      <c r="E9" s="142"/>
      <c r="F9" s="53">
        <f>I9+M9+O9+Q9+S9</f>
        <v>960</v>
      </c>
      <c r="G9" s="21">
        <f>F5</f>
        <v>3954</v>
      </c>
      <c r="H9" s="191">
        <v>9</v>
      </c>
      <c r="I9" s="40">
        <f>IF(AND(H9&gt;6.8,H9&lt;11.3),IF(B$5=1,ROUNDDOWN(58.015*(11.26-H9)^1.81,0),ROUNDDOWN(58.015*(11.5-H9)^1.81,)),0)</f>
        <v>253</v>
      </c>
      <c r="J9" s="90">
        <v>2</v>
      </c>
      <c r="K9" s="27" t="s">
        <v>25</v>
      </c>
      <c r="L9" s="94">
        <v>47.36</v>
      </c>
      <c r="M9" s="44">
        <f>V9</f>
        <v>322</v>
      </c>
      <c r="N9" s="98"/>
      <c r="O9" s="48">
        <f>IF(AND(N9&gt;75),ROUNDDOWN(0.8465*(N9-75)^1.42,0),0)</f>
        <v>0</v>
      </c>
      <c r="P9" s="98">
        <v>379</v>
      </c>
      <c r="Q9" s="48">
        <f>IF(AND(P9&gt;210),ROUNDDOWN(0.14354*(P9-220)^1.4,0),0)</f>
        <v>173</v>
      </c>
      <c r="R9" s="102">
        <v>38.5</v>
      </c>
      <c r="S9" s="159">
        <f>IF(AND(R9&gt;10),ROUNDDOWN(5.33*(R9-10)^1.1,0),0)</f>
        <v>212</v>
      </c>
      <c r="U9" s="25">
        <f>J9*60+L9</f>
        <v>167.36</v>
      </c>
      <c r="V9" s="26">
        <f>IF(U9&gt;0,(INT(POWER(235-U9,1.85)*0.13279)),0)</f>
        <v>322</v>
      </c>
    </row>
    <row r="10" spans="1:22" ht="13.5" thickBot="1">
      <c r="A10" s="144"/>
      <c r="B10" s="145">
        <f>Jednotlivci!L11</f>
        <v>5</v>
      </c>
      <c r="C10" s="16" t="s">
        <v>62</v>
      </c>
      <c r="D10" s="14"/>
      <c r="E10" s="146"/>
      <c r="F10" s="54">
        <f>I10+M10+O10+Q10+S10</f>
        <v>837</v>
      </c>
      <c r="G10" s="22">
        <f>F5</f>
        <v>3954</v>
      </c>
      <c r="H10" s="192">
        <v>9.1</v>
      </c>
      <c r="I10" s="161">
        <f>IF(AND(H10&gt;6.8,H10&lt;11.3),IF(B$5=1,ROUNDDOWN(58.015*(11.26-H10)^1.81,0),ROUNDDOWN(58.015*(11.5-H10)^1.81,)),0)</f>
        <v>233</v>
      </c>
      <c r="J10" s="162">
        <v>2</v>
      </c>
      <c r="K10" s="163" t="s">
        <v>25</v>
      </c>
      <c r="L10" s="164">
        <v>50.89</v>
      </c>
      <c r="M10" s="165">
        <f>V10</f>
        <v>292</v>
      </c>
      <c r="N10" s="99"/>
      <c r="O10" s="85">
        <f>IF(AND(N10&gt;75),ROUNDDOWN(0.8465*(N10-75)^1.42,0),0)</f>
        <v>0</v>
      </c>
      <c r="P10" s="99">
        <v>346</v>
      </c>
      <c r="Q10" s="85">
        <f>IF(AND(P10&gt;210),ROUNDDOWN(0.14354*(P10-220)^1.4,0),0)</f>
        <v>125</v>
      </c>
      <c r="R10" s="103">
        <v>35.5</v>
      </c>
      <c r="S10" s="166">
        <f>IF(AND(R10&gt;10),ROUNDDOWN(5.33*(R10-10)^1.1,0),0)</f>
        <v>187</v>
      </c>
      <c r="U10" s="25">
        <f>J10*60+L10</f>
        <v>170.89</v>
      </c>
      <c r="V10" s="26">
        <f>IF(U10&gt;0,(INT(POWER(235-U10,1.85)*0.13279)),0)</f>
        <v>292</v>
      </c>
    </row>
    <row r="11" spans="6:22" ht="13.5" thickBot="1">
      <c r="F11" s="55"/>
      <c r="G11" s="12">
        <f>F5</f>
        <v>3954</v>
      </c>
      <c r="H11" s="193"/>
      <c r="I11" s="41"/>
      <c r="K11" s="18"/>
      <c r="L11" s="29"/>
      <c r="M11" s="41"/>
      <c r="O11" s="41"/>
      <c r="Q11" s="41"/>
      <c r="S11" s="50"/>
      <c r="U11" s="32"/>
      <c r="V11" s="33"/>
    </row>
    <row r="12" spans="1:22" ht="13.5" thickBot="1">
      <c r="A12" s="115">
        <f>Družstva!A8</f>
        <v>2</v>
      </c>
      <c r="B12" s="23">
        <f>$B$5</f>
        <v>1</v>
      </c>
      <c r="C12" s="10" t="s">
        <v>55</v>
      </c>
      <c r="D12" s="11"/>
      <c r="E12" s="13" t="s">
        <v>32</v>
      </c>
      <c r="F12" s="56">
        <f>SUM(F13:F17)-MIN(F13:F17)</f>
        <v>6062</v>
      </c>
      <c r="G12" s="19">
        <f>F12</f>
        <v>6062</v>
      </c>
      <c r="H12" s="194"/>
      <c r="I12" s="106"/>
      <c r="J12" s="107"/>
      <c r="K12" s="107"/>
      <c r="L12" s="108"/>
      <c r="M12" s="109"/>
      <c r="N12" s="110"/>
      <c r="O12" s="111"/>
      <c r="P12" s="110"/>
      <c r="Q12" s="111"/>
      <c r="R12" s="112"/>
      <c r="S12" s="113"/>
      <c r="U12" s="32"/>
      <c r="V12" s="33"/>
    </row>
    <row r="13" spans="1:22" ht="13.5" thickBot="1">
      <c r="A13" s="147"/>
      <c r="B13" s="148">
        <f>Jednotlivci!L12</f>
        <v>6</v>
      </c>
      <c r="C13" s="15" t="s">
        <v>63</v>
      </c>
      <c r="D13" s="149"/>
      <c r="E13" s="150"/>
      <c r="F13" s="53">
        <f>I13+M13+O13+Q13+S13</f>
        <v>1500</v>
      </c>
      <c r="G13" s="20">
        <f>F12</f>
        <v>6062</v>
      </c>
      <c r="H13" s="190">
        <v>8.1</v>
      </c>
      <c r="I13" s="167">
        <f>IF(AND(H13&gt;6.8,H13&lt;11.3),IF(B$5=1,ROUNDDOWN(58.015*(11.26-H13)^1.81,0),ROUNDDOWN(58.015*(11.5-H13)^1.81,)),0)</f>
        <v>465</v>
      </c>
      <c r="J13" s="154">
        <v>2</v>
      </c>
      <c r="K13" s="155" t="s">
        <v>25</v>
      </c>
      <c r="L13" s="156">
        <v>34.67</v>
      </c>
      <c r="M13" s="168">
        <f>V13</f>
        <v>443</v>
      </c>
      <c r="N13" s="100">
        <v>130</v>
      </c>
      <c r="O13" s="169">
        <f>IF(AND(N13&gt;75),ROUNDDOWN(0.8465*(N13-75)^1.42,0),0)</f>
        <v>250</v>
      </c>
      <c r="P13" s="100">
        <v>0</v>
      </c>
      <c r="Q13" s="170">
        <f>IF(AND(P13&gt;210),ROUNDDOWN(0.14354*(P13-220)^1.4,0),0)</f>
        <v>0</v>
      </c>
      <c r="R13" s="104">
        <v>54</v>
      </c>
      <c r="S13" s="158">
        <f>IF(AND(R13&gt;10),ROUNDDOWN(5.33*(R13-10)^1.1,0),0)</f>
        <v>342</v>
      </c>
      <c r="U13" s="25">
        <f>J13*60+L13</f>
        <v>154.67000000000002</v>
      </c>
      <c r="V13" s="26">
        <f>IF(U13&gt;0,(INT(POWER(235-U13,1.85)*0.13279)),0)</f>
        <v>443</v>
      </c>
    </row>
    <row r="14" spans="1:22" ht="13.5" thickBot="1">
      <c r="A14" s="143"/>
      <c r="B14" s="138">
        <f>Jednotlivci!L13</f>
        <v>7</v>
      </c>
      <c r="C14" s="9" t="s">
        <v>115</v>
      </c>
      <c r="D14" s="141"/>
      <c r="E14" s="142"/>
      <c r="F14" s="53">
        <f>I14+M14+O14+Q14+S14</f>
        <v>1561</v>
      </c>
      <c r="G14" s="21">
        <f>F12</f>
        <v>6062</v>
      </c>
      <c r="H14" s="191">
        <v>8</v>
      </c>
      <c r="I14" s="72">
        <f>IF(AND(H14&gt;6.8,H14&lt;11.3),IF(B$5=1,ROUNDDOWN(58.015*(11.26-H14)^1.81,0),ROUNDDOWN(58.015*(11.5-H14)^1.81,)),0)</f>
        <v>492</v>
      </c>
      <c r="J14" s="90">
        <v>2</v>
      </c>
      <c r="K14" s="27" t="s">
        <v>25</v>
      </c>
      <c r="L14" s="94">
        <v>38.83</v>
      </c>
      <c r="M14" s="73">
        <f>V14</f>
        <v>402</v>
      </c>
      <c r="N14" s="98">
        <v>150</v>
      </c>
      <c r="O14" s="74">
        <f>IF(AND(N14&gt;75),ROUNDDOWN(0.8465*(N14-75)^1.42,0),0)</f>
        <v>389</v>
      </c>
      <c r="P14" s="98">
        <v>0</v>
      </c>
      <c r="Q14" s="75">
        <f>IF(AND(P14&gt;210),ROUNDDOWN(0.14354*(P14-220)^1.4,0),0)</f>
        <v>0</v>
      </c>
      <c r="R14" s="102">
        <v>46.5</v>
      </c>
      <c r="S14" s="159">
        <f>IF(AND(R14&gt;10),ROUNDDOWN(5.33*(R14-10)^1.1,0),0)</f>
        <v>278</v>
      </c>
      <c r="U14" s="25">
        <f>J14*60+L14</f>
        <v>158.82999999999998</v>
      </c>
      <c r="V14" s="26">
        <f>IF(U14&gt;0,(INT(POWER(235-U14,1.85)*0.13279)),0)</f>
        <v>402</v>
      </c>
    </row>
    <row r="15" spans="1:22" ht="13.5" thickBot="1">
      <c r="A15" s="143"/>
      <c r="B15" s="138">
        <f>Jednotlivci!L14</f>
        <v>8</v>
      </c>
      <c r="C15" s="9" t="s">
        <v>64</v>
      </c>
      <c r="D15" s="141"/>
      <c r="E15" s="142"/>
      <c r="F15" s="53">
        <f>I15+M15+O15+Q15+S15</f>
        <v>1403</v>
      </c>
      <c r="G15" s="21">
        <f>F12</f>
        <v>6062</v>
      </c>
      <c r="H15" s="191">
        <v>8.9</v>
      </c>
      <c r="I15" s="171">
        <f>IF(AND(H15&gt;6.8,H15&lt;11.3),IF(B$5=1,ROUNDDOWN(58.015*(11.26-H15)^1.81,0),ROUNDDOWN(58.015*(11.5-H15)^1.81,)),0)</f>
        <v>274</v>
      </c>
      <c r="J15" s="91">
        <v>2</v>
      </c>
      <c r="K15" s="28" t="s">
        <v>25</v>
      </c>
      <c r="L15" s="95">
        <v>33.82</v>
      </c>
      <c r="M15" s="46">
        <f>V15</f>
        <v>452</v>
      </c>
      <c r="N15" s="98"/>
      <c r="O15" s="50">
        <f>IF(AND(N15&gt;75),ROUNDDOWN(0.8465*(N15-75)^1.42,0),0)</f>
        <v>0</v>
      </c>
      <c r="P15" s="98">
        <v>475</v>
      </c>
      <c r="Q15" s="71">
        <f>IF(AND(P15&gt;210),ROUNDDOWN(0.14354*(P15-220)^1.4,0),0)</f>
        <v>335</v>
      </c>
      <c r="R15" s="102">
        <v>54</v>
      </c>
      <c r="S15" s="160">
        <f>IF(AND(R15&gt;10),ROUNDDOWN(5.33*(R15-10)^1.1,0),0)</f>
        <v>342</v>
      </c>
      <c r="U15" s="25">
        <f>J15*60+L15</f>
        <v>153.82</v>
      </c>
      <c r="V15" s="26">
        <f>IF(U15&gt;0,(INT(POWER(235-U15,1.85)*0.13279)),0)</f>
        <v>452</v>
      </c>
    </row>
    <row r="16" spans="1:22" ht="13.5" thickBot="1">
      <c r="A16" s="143"/>
      <c r="B16" s="138">
        <f>Jednotlivci!L15</f>
        <v>9</v>
      </c>
      <c r="C16" s="9" t="s">
        <v>116</v>
      </c>
      <c r="D16" s="141"/>
      <c r="E16" s="142"/>
      <c r="F16" s="53">
        <f>I16+M16+O16+Q16+S16</f>
        <v>1585</v>
      </c>
      <c r="G16" s="21">
        <f>F12</f>
        <v>6062</v>
      </c>
      <c r="H16" s="191">
        <v>8</v>
      </c>
      <c r="I16" s="72">
        <f>IF(AND(H16&gt;6.8,H16&lt;11.3),IF(B$5=1,ROUNDDOWN(58.015*(11.26-H16)^1.81,0),ROUNDDOWN(58.015*(11.5-H16)^1.81,)),0)</f>
        <v>492</v>
      </c>
      <c r="J16" s="90">
        <v>2</v>
      </c>
      <c r="K16" s="27" t="s">
        <v>25</v>
      </c>
      <c r="L16" s="94">
        <v>25.61</v>
      </c>
      <c r="M16" s="73">
        <f>V16</f>
        <v>540</v>
      </c>
      <c r="N16" s="98"/>
      <c r="O16" s="74">
        <f>IF(AND(N16&gt;75),ROUNDDOWN(0.8465*(N16-75)^1.42,0),0)</f>
        <v>0</v>
      </c>
      <c r="P16" s="98">
        <v>434</v>
      </c>
      <c r="Q16" s="75">
        <f>IF(AND(P16&gt;210),ROUNDDOWN(0.14354*(P16-220)^1.4,0),0)</f>
        <v>262</v>
      </c>
      <c r="R16" s="102">
        <v>48</v>
      </c>
      <c r="S16" s="159">
        <f>IF(AND(R16&gt;10),ROUNDDOWN(5.33*(R16-10)^1.1,0),0)</f>
        <v>291</v>
      </c>
      <c r="U16" s="25">
        <f>J16*60+L16</f>
        <v>145.61</v>
      </c>
      <c r="V16" s="26">
        <f>IF(U16&gt;0,(INT(POWER(235-U16,1.85)*0.13279)),0)</f>
        <v>540</v>
      </c>
    </row>
    <row r="17" spans="1:22" ht="13.5" thickBot="1">
      <c r="A17" s="144"/>
      <c r="B17" s="145">
        <f>Jednotlivci!L16</f>
        <v>10</v>
      </c>
      <c r="C17" s="16" t="s">
        <v>65</v>
      </c>
      <c r="D17" s="14"/>
      <c r="E17" s="146"/>
      <c r="F17" s="53">
        <f>I17+M17+O17+Q17+S17</f>
        <v>1416</v>
      </c>
      <c r="G17" s="22">
        <f>F12</f>
        <v>6062</v>
      </c>
      <c r="H17" s="192">
        <v>8.1</v>
      </c>
      <c r="I17" s="77">
        <f>IF(AND(H17&gt;6.8,H17&lt;11.3),IF(B$5=1,ROUNDDOWN(58.015*(11.26-H17)^1.81,0),ROUNDDOWN(58.015*(11.5-H17)^1.81,)),0)</f>
        <v>465</v>
      </c>
      <c r="J17" s="162">
        <v>2</v>
      </c>
      <c r="K17" s="163" t="s">
        <v>25</v>
      </c>
      <c r="L17" s="164">
        <v>37.48</v>
      </c>
      <c r="M17" s="78">
        <f>V17</f>
        <v>415</v>
      </c>
      <c r="N17" s="99"/>
      <c r="O17" s="79">
        <f>IF(AND(N17&gt;75),ROUNDDOWN(0.8465*(N17-75)^1.42,0),0)</f>
        <v>0</v>
      </c>
      <c r="P17" s="99">
        <v>453</v>
      </c>
      <c r="Q17" s="80">
        <f>IF(AND(P17&gt;210),ROUNDDOWN(0.14354*(P17-220)^1.4,0),0)</f>
        <v>295</v>
      </c>
      <c r="R17" s="103">
        <v>42</v>
      </c>
      <c r="S17" s="172">
        <f>IF(AND(R17&gt;10),ROUNDDOWN(5.33*(R17-10)^1.1,0),0)</f>
        <v>241</v>
      </c>
      <c r="U17" s="25">
        <f>J17*60+L17</f>
        <v>157.48</v>
      </c>
      <c r="V17" s="26">
        <f>IF(U17&gt;0,(INT(POWER(235-U17,1.85)*0.13279)),0)</f>
        <v>415</v>
      </c>
    </row>
    <row r="18" spans="2:22" ht="13.5" thickBot="1">
      <c r="B18" s="24"/>
      <c r="F18" s="41"/>
      <c r="G18" s="12">
        <f>F12</f>
        <v>6062</v>
      </c>
      <c r="H18" s="193"/>
      <c r="I18" s="41"/>
      <c r="K18" s="18"/>
      <c r="L18" s="30"/>
      <c r="M18" s="41"/>
      <c r="O18" s="41"/>
      <c r="Q18" s="41"/>
      <c r="S18" s="50"/>
      <c r="U18" s="32"/>
      <c r="V18" s="33"/>
    </row>
    <row r="19" spans="1:22" ht="13.5" thickBot="1">
      <c r="A19" s="139">
        <f>Družstva!A9</f>
        <v>3</v>
      </c>
      <c r="B19" s="23">
        <f>$B$5</f>
        <v>1</v>
      </c>
      <c r="C19" s="10" t="s">
        <v>35</v>
      </c>
      <c r="D19" s="11"/>
      <c r="E19" s="13" t="s">
        <v>32</v>
      </c>
      <c r="F19" s="56">
        <f>SUM(F20:F24)-MIN(F20:F24)</f>
        <v>5164</v>
      </c>
      <c r="G19" s="19">
        <f>F19</f>
        <v>5164</v>
      </c>
      <c r="H19" s="194"/>
      <c r="I19" s="106"/>
      <c r="J19" s="107"/>
      <c r="K19" s="107"/>
      <c r="L19" s="108"/>
      <c r="M19" s="109"/>
      <c r="N19" s="110"/>
      <c r="O19" s="111"/>
      <c r="P19" s="110"/>
      <c r="Q19" s="111"/>
      <c r="R19" s="112"/>
      <c r="S19" s="113"/>
      <c r="U19" s="32"/>
      <c r="V19" s="33"/>
    </row>
    <row r="20" spans="1:22" ht="13.5" thickBot="1">
      <c r="A20" s="140"/>
      <c r="B20" s="138">
        <f>Jednotlivci!L17</f>
        <v>11</v>
      </c>
      <c r="C20" s="151" t="s">
        <v>119</v>
      </c>
      <c r="D20" s="141">
        <v>0</v>
      </c>
      <c r="E20" s="142"/>
      <c r="F20" s="52">
        <f>I20+M20+O20+Q20+S20</f>
        <v>1425</v>
      </c>
      <c r="G20" s="20">
        <f>F19</f>
        <v>5164</v>
      </c>
      <c r="H20" s="195">
        <v>8</v>
      </c>
      <c r="I20" s="167">
        <f>IF(AND(H20&gt;6.8,H20&lt;11.3),IF(B$5=1,ROUNDDOWN(58.015*(11.26-H20)^1.81,0),ROUNDDOWN(58.015*(11.5-H20)^1.81,)),0)</f>
        <v>492</v>
      </c>
      <c r="J20" s="154">
        <v>2</v>
      </c>
      <c r="K20" s="155" t="s">
        <v>25</v>
      </c>
      <c r="L20" s="156">
        <v>51.01</v>
      </c>
      <c r="M20" s="168">
        <f>V20</f>
        <v>291</v>
      </c>
      <c r="N20" s="100">
        <v>140</v>
      </c>
      <c r="O20" s="169">
        <f>IF(AND(N20&gt;75),ROUNDDOWN(0.8465*(N20-75)^1.42,0),0)</f>
        <v>317</v>
      </c>
      <c r="P20" s="100">
        <v>0</v>
      </c>
      <c r="Q20" s="173">
        <f>IF(AND(P20&gt;210),ROUNDDOWN(0.14354*(P20-220)^1.4,0),0)</f>
        <v>0</v>
      </c>
      <c r="R20" s="104">
        <v>52</v>
      </c>
      <c r="S20" s="158">
        <f>IF(AND(R20&gt;10),ROUNDDOWN(5.33*(R20-10)^1.1,0),0)</f>
        <v>325</v>
      </c>
      <c r="U20" s="25">
        <f>J20*60+L20</f>
        <v>171.01</v>
      </c>
      <c r="V20" s="26">
        <f>IF(U20&gt;0,(INT(POWER(235-U20,1.85)*0.13279)),0)</f>
        <v>291</v>
      </c>
    </row>
    <row r="21" spans="1:22" ht="13.5" thickBot="1">
      <c r="A21" s="143"/>
      <c r="B21" s="138">
        <f>Jednotlivci!L18</f>
        <v>12</v>
      </c>
      <c r="C21" s="9" t="s">
        <v>66</v>
      </c>
      <c r="D21" s="141">
        <v>0</v>
      </c>
      <c r="E21" s="142"/>
      <c r="F21" s="53">
        <f>I21+M21+O21+Q21+S21</f>
        <v>1146</v>
      </c>
      <c r="G21" s="21">
        <f>F19</f>
        <v>5164</v>
      </c>
      <c r="H21" s="196">
        <v>8.1</v>
      </c>
      <c r="I21" s="171">
        <f>IF(AND(H21&gt;6.8,H21&lt;11.3),IF(B$5=1,ROUNDDOWN(58.015*(11.26-H21)^1.81,0),ROUNDDOWN(58.015*(11.5-H21)^1.81,)),0)</f>
        <v>465</v>
      </c>
      <c r="J21" s="90">
        <v>2</v>
      </c>
      <c r="K21" s="27" t="s">
        <v>25</v>
      </c>
      <c r="L21" s="94">
        <v>55.36</v>
      </c>
      <c r="M21" s="46">
        <f>V21</f>
        <v>255</v>
      </c>
      <c r="N21" s="98">
        <v>135</v>
      </c>
      <c r="O21" s="50">
        <f>IF(AND(N21&gt;75),ROUNDDOWN(0.8465*(N21-75)^1.42,0),0)</f>
        <v>283</v>
      </c>
      <c r="P21" s="98">
        <v>0</v>
      </c>
      <c r="Q21" s="51">
        <f>IF(AND(P21&gt;210),ROUNDDOWN(0.14354*(P21-220)^1.4,0),0)</f>
        <v>0</v>
      </c>
      <c r="R21" s="102">
        <v>30</v>
      </c>
      <c r="S21" s="160">
        <f>IF(AND(R21&gt;10),ROUNDDOWN(5.33*(R21-10)^1.1,0),0)</f>
        <v>143</v>
      </c>
      <c r="U21" s="25">
        <f>J21*60+L21</f>
        <v>175.36</v>
      </c>
      <c r="V21" s="26">
        <f>IF(U21&gt;0,(INT(POWER(235-U21,1.85)*0.13279)),0)</f>
        <v>255</v>
      </c>
    </row>
    <row r="22" spans="1:22" ht="13.5" thickBot="1">
      <c r="A22" s="143"/>
      <c r="B22" s="138">
        <f>Jednotlivci!L19</f>
        <v>13</v>
      </c>
      <c r="C22" s="9" t="s">
        <v>67</v>
      </c>
      <c r="D22" s="141">
        <v>0</v>
      </c>
      <c r="E22" s="142"/>
      <c r="F22" s="53">
        <f>I22+M22+O22+Q22+S22</f>
        <v>1014</v>
      </c>
      <c r="G22" s="21">
        <f>F19</f>
        <v>5164</v>
      </c>
      <c r="H22" s="196">
        <v>8.8</v>
      </c>
      <c r="I22" s="171">
        <f>IF(AND(H22&gt;6.8,H22&lt;11.3),IF(B$5=1,ROUNDDOWN(58.015*(11.26-H22)^1.81,0),ROUNDDOWN(58.015*(11.5-H22)^1.81,)),0)</f>
        <v>295</v>
      </c>
      <c r="J22" s="91">
        <v>2</v>
      </c>
      <c r="K22" s="28" t="s">
        <v>25</v>
      </c>
      <c r="L22" s="95">
        <v>55.01</v>
      </c>
      <c r="M22" s="46">
        <f>V22</f>
        <v>258</v>
      </c>
      <c r="N22" s="98"/>
      <c r="O22" s="50">
        <f>IF(AND(N22&gt;75),ROUNDDOWN(0.8465*(N22-75)^1.42,0),0)</f>
        <v>0</v>
      </c>
      <c r="P22" s="98">
        <v>388</v>
      </c>
      <c r="Q22" s="51">
        <f>IF(AND(P22&gt;210),ROUNDDOWN(0.14354*(P22-220)^1.4,0),0)</f>
        <v>187</v>
      </c>
      <c r="R22" s="102">
        <v>46</v>
      </c>
      <c r="S22" s="160">
        <f>IF(AND(R22&gt;10),ROUNDDOWN(5.33*(R22-10)^1.1,0),0)</f>
        <v>274</v>
      </c>
      <c r="U22" s="25">
        <f>J22*60+L22</f>
        <v>175.01</v>
      </c>
      <c r="V22" s="26">
        <f>IF(U22&gt;0,(INT(POWER(235-U22,1.85)*0.13279)),0)</f>
        <v>258</v>
      </c>
    </row>
    <row r="23" spans="1:22" ht="13.5" thickBot="1">
      <c r="A23" s="143"/>
      <c r="B23" s="138">
        <f>Jednotlivci!L20</f>
        <v>14</v>
      </c>
      <c r="C23" s="9" t="s">
        <v>120</v>
      </c>
      <c r="D23" s="141">
        <v>0</v>
      </c>
      <c r="E23" s="142"/>
      <c r="F23" s="53">
        <f>I23+M23+O23+Q23+S23</f>
        <v>1526</v>
      </c>
      <c r="G23" s="21">
        <f>F19</f>
        <v>5164</v>
      </c>
      <c r="H23" s="196">
        <v>7.9</v>
      </c>
      <c r="I23" s="171">
        <f>IF(AND(H23&gt;6.8,H23&lt;11.3),IF(B$5=1,ROUNDDOWN(58.015*(11.26-H23)^1.81,0),ROUNDDOWN(58.015*(11.5-H23)^1.81,)),0)</f>
        <v>520</v>
      </c>
      <c r="J23" s="90">
        <v>2</v>
      </c>
      <c r="K23" s="27" t="s">
        <v>25</v>
      </c>
      <c r="L23" s="94">
        <v>34.86</v>
      </c>
      <c r="M23" s="46">
        <f>V23</f>
        <v>441</v>
      </c>
      <c r="N23" s="98"/>
      <c r="O23" s="50">
        <f>IF(AND(N23&gt;75),ROUNDDOWN(0.8465*(N23-75)^1.42,0),0)</f>
        <v>0</v>
      </c>
      <c r="P23" s="98">
        <v>478</v>
      </c>
      <c r="Q23" s="51">
        <f>IF(AND(P23&gt;210),ROUNDDOWN(0.14354*(P23-220)^1.4,0),0)</f>
        <v>341</v>
      </c>
      <c r="R23" s="102">
        <v>40</v>
      </c>
      <c r="S23" s="160">
        <f>IF(AND(R23&gt;10),ROUNDDOWN(5.33*(R23-10)^1.1,0),0)</f>
        <v>224</v>
      </c>
      <c r="U23" s="25">
        <f>J23*60+L23</f>
        <v>154.86</v>
      </c>
      <c r="V23" s="26">
        <f>IF(U23&gt;0,(INT(POWER(235-U23,1.85)*0.13279)),0)</f>
        <v>441</v>
      </c>
    </row>
    <row r="24" spans="1:22" ht="13.5" thickBot="1">
      <c r="A24" s="144"/>
      <c r="B24" s="145">
        <f>Jednotlivci!L21</f>
        <v>15</v>
      </c>
      <c r="C24" s="16" t="s">
        <v>68</v>
      </c>
      <c r="D24" s="14">
        <v>0</v>
      </c>
      <c r="E24" s="146"/>
      <c r="F24" s="54">
        <f>I24+M24+O24+Q24+S24</f>
        <v>1067</v>
      </c>
      <c r="G24" s="22">
        <f>F19</f>
        <v>5164</v>
      </c>
      <c r="H24" s="197">
        <v>8.9</v>
      </c>
      <c r="I24" s="81">
        <f>IF(AND(H24&gt;6.8,H24&lt;11.3),IF(B$5=1,ROUNDDOWN(58.015*(11.26-H24)^1.81,0),ROUNDDOWN(58.015*(11.5-H24)^1.81,)),0)</f>
        <v>274</v>
      </c>
      <c r="J24" s="162">
        <v>3</v>
      </c>
      <c r="K24" s="163" t="s">
        <v>25</v>
      </c>
      <c r="L24" s="164">
        <v>0.73</v>
      </c>
      <c r="M24" s="82">
        <f>V24</f>
        <v>214</v>
      </c>
      <c r="N24" s="99"/>
      <c r="O24" s="83">
        <f>IF(AND(N24&gt;75),ROUNDDOWN(0.8465*(N24-75)^1.42,0),0)</f>
        <v>0</v>
      </c>
      <c r="P24" s="99">
        <v>454</v>
      </c>
      <c r="Q24" s="84">
        <f>IF(AND(P24&gt;210),ROUNDDOWN(0.14354*(P24-220)^1.4,0),0)</f>
        <v>297</v>
      </c>
      <c r="R24" s="103">
        <v>47</v>
      </c>
      <c r="S24" s="166">
        <f>IF(AND(R24&gt;10),ROUNDDOWN(5.33*(R24-10)^1.1,0),0)</f>
        <v>282</v>
      </c>
      <c r="U24" s="25">
        <f>J24*60+L24</f>
        <v>180.73</v>
      </c>
      <c r="V24" s="26">
        <f>IF(U24&gt;0,(INT(POWER(235-U24,1.85)*0.13279)),0)</f>
        <v>214</v>
      </c>
    </row>
    <row r="25" spans="2:22" ht="13.5" thickBot="1">
      <c r="B25" s="24"/>
      <c r="F25" s="41"/>
      <c r="G25" s="12">
        <f>F19</f>
        <v>5164</v>
      </c>
      <c r="H25" s="193"/>
      <c r="I25" s="41"/>
      <c r="K25" s="18"/>
      <c r="L25" s="30"/>
      <c r="M25" s="41"/>
      <c r="O25" s="41"/>
      <c r="Q25" s="41"/>
      <c r="S25" s="50"/>
      <c r="U25" s="32"/>
      <c r="V25" s="33"/>
    </row>
    <row r="26" spans="1:22" ht="13.5" thickBot="1">
      <c r="A26" s="115">
        <f>Družstva!A10</f>
        <v>4</v>
      </c>
      <c r="B26" s="23">
        <f>$B$5</f>
        <v>1</v>
      </c>
      <c r="C26" s="185" t="s">
        <v>57</v>
      </c>
      <c r="D26" s="11"/>
      <c r="E26" s="13" t="s">
        <v>32</v>
      </c>
      <c r="F26" s="56">
        <f>SUM(F27:F31)-MIN(F27:F31)</f>
        <v>4091</v>
      </c>
      <c r="G26" s="19">
        <f>F26</f>
        <v>4091</v>
      </c>
      <c r="H26" s="194"/>
      <c r="I26" s="106"/>
      <c r="J26" s="107"/>
      <c r="K26" s="107"/>
      <c r="L26" s="108"/>
      <c r="M26" s="109"/>
      <c r="N26" s="110"/>
      <c r="O26" s="111"/>
      <c r="P26" s="110"/>
      <c r="Q26" s="111"/>
      <c r="R26" s="112"/>
      <c r="S26" s="113"/>
      <c r="U26" s="32"/>
      <c r="V26" s="33"/>
    </row>
    <row r="27" spans="1:22" ht="13.5" thickBot="1">
      <c r="A27" s="147"/>
      <c r="B27" s="148">
        <f>Jednotlivci!L22</f>
        <v>16</v>
      </c>
      <c r="C27" s="179" t="s">
        <v>69</v>
      </c>
      <c r="D27" s="149">
        <v>0</v>
      </c>
      <c r="E27" s="150"/>
      <c r="F27" s="52">
        <f>I27+M27+O27+Q27+S27</f>
        <v>1218</v>
      </c>
      <c r="G27" s="20">
        <f>F26</f>
        <v>4091</v>
      </c>
      <c r="H27" s="190">
        <v>8.4</v>
      </c>
      <c r="I27" s="167">
        <f>IF(AND(H27&gt;6.8,H27&lt;11.3),IF(B$5=1,ROUNDDOWN(58.015*(11.26-H27)^1.81,0),ROUNDDOWN(58.015*(11.5-H27)^1.81,)),0)</f>
        <v>388</v>
      </c>
      <c r="J27" s="154">
        <v>2</v>
      </c>
      <c r="K27" s="155" t="s">
        <v>25</v>
      </c>
      <c r="L27" s="156">
        <v>54.13</v>
      </c>
      <c r="M27" s="168">
        <f>V27</f>
        <v>265</v>
      </c>
      <c r="N27" s="100">
        <v>135</v>
      </c>
      <c r="O27" s="169">
        <f>IF(AND(N27&gt;75),ROUNDDOWN(0.8465*(N27-75)^1.42,0),0)</f>
        <v>283</v>
      </c>
      <c r="P27" s="100">
        <v>0</v>
      </c>
      <c r="Q27" s="173">
        <f>IF(AND(P27&gt;210),ROUNDDOWN(0.14354*(P27-220)^1.4,0),0)</f>
        <v>0</v>
      </c>
      <c r="R27" s="104">
        <v>47</v>
      </c>
      <c r="S27" s="158">
        <f>IF(AND(R27&gt;10),ROUNDDOWN(5.33*(R27-10)^1.1,0),0)</f>
        <v>282</v>
      </c>
      <c r="U27" s="25">
        <f>J27*60+L27</f>
        <v>174.13</v>
      </c>
      <c r="V27" s="26">
        <f>IF(U27&gt;0,(INT(POWER(235-U27,1.85)*0.13279)),0)</f>
        <v>265</v>
      </c>
    </row>
    <row r="28" spans="1:22" ht="13.5" thickBot="1">
      <c r="A28" s="143"/>
      <c r="B28" s="138">
        <f>Jednotlivci!L23</f>
        <v>17</v>
      </c>
      <c r="C28" s="180" t="s">
        <v>70</v>
      </c>
      <c r="D28" s="141">
        <v>0</v>
      </c>
      <c r="E28" s="142"/>
      <c r="F28" s="53">
        <f>I28+M28+O28+Q28+S28</f>
        <v>934</v>
      </c>
      <c r="G28" s="21">
        <f>F26</f>
        <v>4091</v>
      </c>
      <c r="H28" s="191">
        <v>8.9</v>
      </c>
      <c r="I28" s="171">
        <f>IF(AND(H28&gt;6.8,H28&lt;11.3),IF(B$5=1,ROUNDDOWN(58.015*(11.26-H28)^1.81,0),ROUNDDOWN(58.015*(11.5-H28)^1.81,)),0)</f>
        <v>274</v>
      </c>
      <c r="J28" s="90">
        <v>2</v>
      </c>
      <c r="K28" s="27" t="s">
        <v>25</v>
      </c>
      <c r="L28" s="94">
        <v>33.01</v>
      </c>
      <c r="M28" s="46">
        <f>V28</f>
        <v>460</v>
      </c>
      <c r="N28" s="98">
        <v>0</v>
      </c>
      <c r="O28" s="50">
        <f>IF(AND(N28&gt;75),ROUNDDOWN(0.8465*(N28-75)^1.42,0),0)</f>
        <v>0</v>
      </c>
      <c r="P28" s="98">
        <v>0</v>
      </c>
      <c r="Q28" s="51">
        <f>IF(AND(P28&gt;210),ROUNDDOWN(0.14354*(P28-220)^1.4,0),0)</f>
        <v>0</v>
      </c>
      <c r="R28" s="102">
        <v>37</v>
      </c>
      <c r="S28" s="160">
        <f>IF(AND(R28&gt;10),ROUNDDOWN(5.33*(R28-10)^1.1,0),0)</f>
        <v>200</v>
      </c>
      <c r="U28" s="25">
        <f>J28*60+L28</f>
        <v>153.01</v>
      </c>
      <c r="V28" s="26">
        <f>IF(U28&gt;0,(INT(POWER(235-U28,1.85)*0.13279)),0)</f>
        <v>460</v>
      </c>
    </row>
    <row r="29" spans="1:22" ht="13.5" thickBot="1">
      <c r="A29" s="143"/>
      <c r="B29" s="138">
        <f>Jednotlivci!L24</f>
        <v>18</v>
      </c>
      <c r="C29" s="180" t="s">
        <v>71</v>
      </c>
      <c r="D29" s="141">
        <v>0</v>
      </c>
      <c r="E29" s="142"/>
      <c r="F29" s="53">
        <f>I29+M29+O29+Q29+S29</f>
        <v>997</v>
      </c>
      <c r="G29" s="21">
        <f>F26</f>
        <v>4091</v>
      </c>
      <c r="H29" s="191">
        <v>8.6</v>
      </c>
      <c r="I29" s="171">
        <f>IF(AND(H29&gt;6.8,H29&lt;11.3),IF(B$5=1,ROUNDDOWN(58.015*(11.26-H29)^1.81,0),ROUNDDOWN(58.015*(11.5-H29)^1.81,)),0)</f>
        <v>340</v>
      </c>
      <c r="J29" s="91">
        <v>2</v>
      </c>
      <c r="K29" s="28" t="s">
        <v>25</v>
      </c>
      <c r="L29" s="95">
        <v>39.51</v>
      </c>
      <c r="M29" s="46">
        <f>V29</f>
        <v>395</v>
      </c>
      <c r="N29" s="98"/>
      <c r="O29" s="50">
        <f>IF(AND(N29&gt;75),ROUNDDOWN(0.8465*(N29-75)^1.42,0),0)</f>
        <v>0</v>
      </c>
      <c r="P29" s="98">
        <v>374</v>
      </c>
      <c r="Q29" s="51">
        <f>IF(AND(P29&gt;210),ROUNDDOWN(0.14354*(P29-220)^1.4,0),0)</f>
        <v>165</v>
      </c>
      <c r="R29" s="102">
        <v>24</v>
      </c>
      <c r="S29" s="160">
        <f>IF(AND(R29&gt;10),ROUNDDOWN(5.33*(R29-10)^1.1,0),0)</f>
        <v>97</v>
      </c>
      <c r="U29" s="25">
        <f>J29*60+L29</f>
        <v>159.51</v>
      </c>
      <c r="V29" s="26">
        <f>IF(U29&gt;0,(INT(POWER(235-U29,1.85)*0.13279)),0)</f>
        <v>395</v>
      </c>
    </row>
    <row r="30" spans="1:22" ht="13.5" thickBot="1">
      <c r="A30" s="143"/>
      <c r="B30" s="138">
        <f>Jednotlivci!L25</f>
        <v>19</v>
      </c>
      <c r="C30" s="180" t="s">
        <v>72</v>
      </c>
      <c r="D30" s="141">
        <v>0</v>
      </c>
      <c r="E30" s="142"/>
      <c r="F30" s="53">
        <f>I30+M30+O30+Q30+S30</f>
        <v>862</v>
      </c>
      <c r="G30" s="21">
        <f>F26</f>
        <v>4091</v>
      </c>
      <c r="H30" s="191">
        <v>9.4</v>
      </c>
      <c r="I30" s="171">
        <f>IF(AND(H30&gt;6.8,H30&lt;11.3),IF(B$5=1,ROUNDDOWN(58.015*(11.26-H30)^1.81,0),ROUNDDOWN(58.015*(11.5-H30)^1.81,)),0)</f>
        <v>178</v>
      </c>
      <c r="J30" s="90">
        <v>2</v>
      </c>
      <c r="K30" s="27" t="s">
        <v>25</v>
      </c>
      <c r="L30" s="94">
        <v>49.8</v>
      </c>
      <c r="M30" s="46">
        <f>V30</f>
        <v>301</v>
      </c>
      <c r="N30" s="98"/>
      <c r="O30" s="50">
        <f>IF(AND(N30&gt;75),ROUNDDOWN(0.8465*(N30-75)^1.42,0),0)</f>
        <v>0</v>
      </c>
      <c r="P30" s="98">
        <v>375</v>
      </c>
      <c r="Q30" s="51">
        <f>IF(AND(P30&gt;210),ROUNDDOWN(0.14354*(P30-220)^1.4,0),0)</f>
        <v>167</v>
      </c>
      <c r="R30" s="102">
        <v>39</v>
      </c>
      <c r="S30" s="160">
        <f>IF(AND(R30&gt;10),ROUNDDOWN(5.33*(R30-10)^1.1,0),0)</f>
        <v>216</v>
      </c>
      <c r="U30" s="25">
        <f>J30*60+L30</f>
        <v>169.8</v>
      </c>
      <c r="V30" s="26">
        <f>IF(U30&gt;0,(INT(POWER(235-U30,1.85)*0.13279)),0)</f>
        <v>301</v>
      </c>
    </row>
    <row r="31" spans="1:22" ht="13.5" thickBot="1">
      <c r="A31" s="144"/>
      <c r="B31" s="145">
        <f>Jednotlivci!L26</f>
        <v>20</v>
      </c>
      <c r="C31" s="181" t="s">
        <v>73</v>
      </c>
      <c r="D31" s="14">
        <v>0</v>
      </c>
      <c r="E31" s="146"/>
      <c r="F31" s="54">
        <f>I31+M31+O31+Q31+S31</f>
        <v>942</v>
      </c>
      <c r="G31" s="22">
        <f>F26</f>
        <v>4091</v>
      </c>
      <c r="H31" s="192">
        <v>9</v>
      </c>
      <c r="I31" s="81">
        <f>IF(AND(H31&gt;6.8,H31&lt;11.3),IF(B$5=1,ROUNDDOWN(58.015*(11.26-H31)^1.81,0),ROUNDDOWN(58.015*(11.5-H31)^1.81,)),0)</f>
        <v>253</v>
      </c>
      <c r="J31" s="162">
        <v>2</v>
      </c>
      <c r="K31" s="163" t="s">
        <v>25</v>
      </c>
      <c r="L31" s="164">
        <v>45.8</v>
      </c>
      <c r="M31" s="82">
        <f>V31</f>
        <v>336</v>
      </c>
      <c r="N31" s="99"/>
      <c r="O31" s="83">
        <f>IF(AND(N31&gt;75),ROUNDDOWN(0.8465*(N31-75)^1.42,0),0)</f>
        <v>0</v>
      </c>
      <c r="P31" s="99">
        <v>352</v>
      </c>
      <c r="Q31" s="84">
        <f>IF(AND(P31&gt;210),ROUNDDOWN(0.14354*(P31-220)^1.4,0),0)</f>
        <v>133</v>
      </c>
      <c r="R31" s="103">
        <v>39.5</v>
      </c>
      <c r="S31" s="166">
        <f>IF(AND(R31&gt;10),ROUNDDOWN(5.33*(R31-10)^1.1,0),0)</f>
        <v>220</v>
      </c>
      <c r="U31" s="25">
        <f>J31*60+L31</f>
        <v>165.8</v>
      </c>
      <c r="V31" s="26">
        <f>IF(U31&gt;0,(INT(POWER(235-U31,1.85)*0.13279)),0)</f>
        <v>336</v>
      </c>
    </row>
    <row r="32" spans="2:22" ht="13.5" thickBot="1">
      <c r="B32" s="24"/>
      <c r="F32" s="41"/>
      <c r="G32" s="12">
        <f>F26</f>
        <v>4091</v>
      </c>
      <c r="H32" s="193"/>
      <c r="I32" s="41"/>
      <c r="K32" s="18"/>
      <c r="L32" s="30"/>
      <c r="M32" s="41"/>
      <c r="O32" s="41"/>
      <c r="Q32" s="41"/>
      <c r="S32" s="50"/>
      <c r="U32" s="32"/>
      <c r="V32" s="33"/>
    </row>
    <row r="33" spans="1:22" ht="13.5" thickBot="1">
      <c r="A33" s="115">
        <f>Družstva!A11</f>
        <v>5</v>
      </c>
      <c r="B33" s="23">
        <f>$B$5</f>
        <v>1</v>
      </c>
      <c r="C33" s="10" t="s">
        <v>58</v>
      </c>
      <c r="D33" s="11"/>
      <c r="E33" s="13" t="s">
        <v>32</v>
      </c>
      <c r="F33" s="56">
        <f>SUM(F34:F38)-MIN(F34:F38)</f>
        <v>4731</v>
      </c>
      <c r="G33" s="19">
        <f>F33</f>
        <v>4731</v>
      </c>
      <c r="H33" s="194"/>
      <c r="I33" s="106"/>
      <c r="J33" s="107"/>
      <c r="K33" s="107"/>
      <c r="L33" s="108"/>
      <c r="M33" s="109"/>
      <c r="N33" s="110"/>
      <c r="O33" s="111"/>
      <c r="P33" s="110"/>
      <c r="Q33" s="111"/>
      <c r="R33" s="112"/>
      <c r="S33" s="113"/>
      <c r="U33" s="32"/>
      <c r="V33" s="33"/>
    </row>
    <row r="34" spans="1:22" ht="13.5" thickBot="1">
      <c r="A34" s="147"/>
      <c r="B34" s="148">
        <f>Jednotlivci!L27</f>
        <v>21</v>
      </c>
      <c r="C34" s="15" t="s">
        <v>74</v>
      </c>
      <c r="D34" s="149"/>
      <c r="E34" s="150"/>
      <c r="F34" s="53">
        <f>I34+M34+O34+Q34+S34</f>
        <v>1188</v>
      </c>
      <c r="G34" s="20">
        <f>F33</f>
        <v>4731</v>
      </c>
      <c r="H34" s="190">
        <v>9.1</v>
      </c>
      <c r="I34" s="167">
        <f>IF(AND(H34&gt;6.8,H34&lt;11.3),IF(B$5=1,ROUNDDOWN(58.015*(11.26-H34)^1.81,0),ROUNDDOWN(58.015*(11.5-H34)^1.81,)),0)</f>
        <v>233</v>
      </c>
      <c r="J34" s="154">
        <v>2</v>
      </c>
      <c r="K34" s="155" t="s">
        <v>25</v>
      </c>
      <c r="L34" s="156">
        <v>44.57</v>
      </c>
      <c r="M34" s="168">
        <f>V34</f>
        <v>347</v>
      </c>
      <c r="N34" s="100">
        <v>135</v>
      </c>
      <c r="O34" s="169">
        <f>IF(AND(N34&gt;75),ROUNDDOWN(0.8465*(N34-75)^1.42,0),0)</f>
        <v>283</v>
      </c>
      <c r="P34" s="100"/>
      <c r="Q34" s="173">
        <f>IF(AND(P34&gt;210),ROUNDDOWN(0.14354*(P34-220)^1.4,0),0)</f>
        <v>0</v>
      </c>
      <c r="R34" s="104">
        <v>52</v>
      </c>
      <c r="S34" s="158">
        <f>IF(AND(R34&gt;10),ROUNDDOWN(5.33*(R34-10)^1.1,0),0)</f>
        <v>325</v>
      </c>
      <c r="U34" s="25">
        <f>J34*60+L34</f>
        <v>164.57</v>
      </c>
      <c r="V34" s="26">
        <f>IF(U34&gt;0,(INT(POWER(235-U34,1.85)*0.13279)),0)</f>
        <v>347</v>
      </c>
    </row>
    <row r="35" spans="1:22" ht="13.5" thickBot="1">
      <c r="A35" s="143"/>
      <c r="B35" s="138">
        <f>Jednotlivci!L28</f>
        <v>22</v>
      </c>
      <c r="C35" s="9" t="s">
        <v>75</v>
      </c>
      <c r="D35" s="141"/>
      <c r="E35" s="142"/>
      <c r="F35" s="53">
        <f>I35+M35+O35+Q35+S35</f>
        <v>1454</v>
      </c>
      <c r="G35" s="21">
        <f>F33</f>
        <v>4731</v>
      </c>
      <c r="H35" s="191">
        <v>8.2</v>
      </c>
      <c r="I35" s="171">
        <f>IF(AND(H35&gt;6.8,H35&lt;11.3),IF(B$5=1,ROUNDDOWN(58.015*(11.26-H35)^1.81,0),ROUNDDOWN(58.015*(11.5-H35)^1.81,)),0)</f>
        <v>439</v>
      </c>
      <c r="J35" s="90">
        <v>2</v>
      </c>
      <c r="K35" s="27" t="s">
        <v>25</v>
      </c>
      <c r="L35" s="94">
        <v>30.89</v>
      </c>
      <c r="M35" s="46">
        <f>V35</f>
        <v>483</v>
      </c>
      <c r="N35" s="98">
        <v>135</v>
      </c>
      <c r="O35" s="50">
        <f>IF(AND(N35&gt;75),ROUNDDOWN(0.8465*(N35-75)^1.42,0),0)</f>
        <v>283</v>
      </c>
      <c r="P35" s="98"/>
      <c r="Q35" s="51">
        <f>IF(AND(P35&gt;210),ROUNDDOWN(0.14354*(P35-220)^1.4,0),0)</f>
        <v>0</v>
      </c>
      <c r="R35" s="102">
        <v>43</v>
      </c>
      <c r="S35" s="160">
        <f>IF(AND(R35&gt;10),ROUNDDOWN(5.33*(R35-10)^1.1,0),0)</f>
        <v>249</v>
      </c>
      <c r="U35" s="25">
        <f>J35*60+L35</f>
        <v>150.89</v>
      </c>
      <c r="V35" s="26">
        <f>IF(U35&gt;0,(INT(POWER(235-U35,1.85)*0.13279)),0)</f>
        <v>483</v>
      </c>
    </row>
    <row r="36" spans="1:22" ht="13.5" thickBot="1">
      <c r="A36" s="143"/>
      <c r="B36" s="138">
        <f>Jednotlivci!L29</f>
        <v>23</v>
      </c>
      <c r="C36" s="9" t="s">
        <v>76</v>
      </c>
      <c r="D36" s="141"/>
      <c r="E36" s="142"/>
      <c r="F36" s="53">
        <f>I36+M36+O36+Q36+S36</f>
        <v>1282</v>
      </c>
      <c r="G36" s="21">
        <f>F33</f>
        <v>4731</v>
      </c>
      <c r="H36" s="191">
        <v>8.6</v>
      </c>
      <c r="I36" s="171">
        <f>IF(AND(H36&gt;6.8,H36&lt;11.3),IF(B$5=1,ROUNDDOWN(58.015*(11.26-H36)^1.81,0),ROUNDDOWN(58.015*(11.5-H36)^1.81,)),0)</f>
        <v>340</v>
      </c>
      <c r="J36" s="91">
        <v>2</v>
      </c>
      <c r="K36" s="28" t="s">
        <v>25</v>
      </c>
      <c r="L36" s="95">
        <v>44.16</v>
      </c>
      <c r="M36" s="46">
        <f>V36</f>
        <v>351</v>
      </c>
      <c r="N36" s="98">
        <v>140</v>
      </c>
      <c r="O36" s="50">
        <f>IF(AND(N36&gt;75),ROUNDDOWN(0.8465*(N36-75)^1.42,0),0)</f>
        <v>317</v>
      </c>
      <c r="P36" s="98">
        <v>0</v>
      </c>
      <c r="Q36" s="51">
        <f>IF(AND(P36&gt;210),ROUNDDOWN(0.14354*(P36-220)^1.4,0),0)</f>
        <v>0</v>
      </c>
      <c r="R36" s="102">
        <v>46</v>
      </c>
      <c r="S36" s="160">
        <f>IF(AND(R36&gt;10),ROUNDDOWN(5.33*(R36-10)^1.1,0),0)</f>
        <v>274</v>
      </c>
      <c r="U36" s="25">
        <f>J36*60+L36</f>
        <v>164.16</v>
      </c>
      <c r="V36" s="26">
        <f>IF(U36&gt;0,(INT(POWER(235-U36,1.85)*0.13279)),0)</f>
        <v>351</v>
      </c>
    </row>
    <row r="37" spans="1:22" ht="13.5" thickBot="1">
      <c r="A37" s="143"/>
      <c r="B37" s="138">
        <f>Jednotlivci!L30</f>
        <v>24</v>
      </c>
      <c r="C37" s="9" t="s">
        <v>77</v>
      </c>
      <c r="D37" s="141"/>
      <c r="E37" s="142"/>
      <c r="F37" s="53">
        <f>I37+M37+O37+Q37+S37</f>
        <v>757</v>
      </c>
      <c r="G37" s="21">
        <f>F33</f>
        <v>4731</v>
      </c>
      <c r="H37" s="191">
        <v>9.2</v>
      </c>
      <c r="I37" s="171">
        <f>IF(AND(H37&gt;6.8,H37&lt;11.3),IF(B$5=1,ROUNDDOWN(58.015*(11.26-H37)^1.81,0),ROUNDDOWN(58.015*(11.5-H37)^1.81,)),0)</f>
        <v>214</v>
      </c>
      <c r="J37" s="90">
        <v>2</v>
      </c>
      <c r="K37" s="27" t="s">
        <v>25</v>
      </c>
      <c r="L37" s="94">
        <v>54.61</v>
      </c>
      <c r="M37" s="46">
        <f>V37</f>
        <v>261</v>
      </c>
      <c r="N37" s="98"/>
      <c r="O37" s="50">
        <f>IF(AND(N37&gt;75),ROUNDDOWN(0.8465*(N37-75)^1.42,0),0)</f>
        <v>0</v>
      </c>
      <c r="P37" s="98">
        <v>333</v>
      </c>
      <c r="Q37" s="51">
        <f>IF(AND(P37&gt;210),ROUNDDOWN(0.14354*(P37-220)^1.4,0),0)</f>
        <v>107</v>
      </c>
      <c r="R37" s="102">
        <v>34</v>
      </c>
      <c r="S37" s="160">
        <f>IF(AND(R37&gt;10),ROUNDDOWN(5.33*(R37-10)^1.1,0),0)</f>
        <v>175</v>
      </c>
      <c r="U37" s="25">
        <f>J37*60+L37</f>
        <v>174.61</v>
      </c>
      <c r="V37" s="26">
        <f>IF(U37&gt;0,(INT(POWER(235-U37,1.85)*0.13279)),0)</f>
        <v>261</v>
      </c>
    </row>
    <row r="38" spans="1:22" ht="13.5" thickBot="1">
      <c r="A38" s="144"/>
      <c r="B38" s="145">
        <f>Jednotlivci!L31</f>
        <v>25</v>
      </c>
      <c r="C38" s="16" t="s">
        <v>78</v>
      </c>
      <c r="D38" s="14"/>
      <c r="E38" s="146"/>
      <c r="F38" s="54">
        <f>I38+M38+O38+Q38+S38</f>
        <v>807</v>
      </c>
      <c r="G38" s="22">
        <f>F33</f>
        <v>4731</v>
      </c>
      <c r="H38" s="192">
        <v>9.4</v>
      </c>
      <c r="I38" s="81">
        <f>IF(AND(H38&gt;6.8,H38&lt;11.3),IF(B$5=1,ROUNDDOWN(58.015*(11.26-H38)^1.81,0),ROUNDDOWN(58.015*(11.5-H38)^1.81,)),0)</f>
        <v>178</v>
      </c>
      <c r="J38" s="162">
        <v>2</v>
      </c>
      <c r="K38" s="163" t="s">
        <v>25</v>
      </c>
      <c r="L38" s="164">
        <v>54.45</v>
      </c>
      <c r="M38" s="82">
        <f>V38</f>
        <v>263</v>
      </c>
      <c r="N38" s="99"/>
      <c r="O38" s="83">
        <f>IF(AND(N38&gt;75),ROUNDDOWN(0.8465*(N38-75)^1.42,0),0)</f>
        <v>0</v>
      </c>
      <c r="P38" s="99">
        <v>396</v>
      </c>
      <c r="Q38" s="84">
        <f>IF(AND(P38&gt;210),ROUNDDOWN(0.14354*(P38-220)^1.4,0),0)</f>
        <v>199</v>
      </c>
      <c r="R38" s="103">
        <v>33</v>
      </c>
      <c r="S38" s="166">
        <f>IF(AND(R38&gt;10),ROUNDDOWN(5.33*(R38-10)^1.1,0),0)</f>
        <v>167</v>
      </c>
      <c r="U38" s="25">
        <f>J38*60+L38</f>
        <v>174.45</v>
      </c>
      <c r="V38" s="26">
        <f>IF(U38&gt;0,(INT(POWER(235-U38,1.85)*0.13279)),0)</f>
        <v>263</v>
      </c>
    </row>
    <row r="39" spans="2:22" ht="13.5" thickBot="1">
      <c r="B39" s="24"/>
      <c r="F39" s="41"/>
      <c r="G39" s="12">
        <f>F33</f>
        <v>4731</v>
      </c>
      <c r="H39" s="193"/>
      <c r="I39" s="41"/>
      <c r="K39" s="18"/>
      <c r="L39" s="30"/>
      <c r="M39" s="41"/>
      <c r="O39" s="41"/>
      <c r="Q39" s="41"/>
      <c r="S39" s="50"/>
      <c r="U39" s="32"/>
      <c r="V39" s="33"/>
    </row>
    <row r="40" spans="1:22" ht="13.5" thickBot="1">
      <c r="A40" s="115">
        <f>Družstva!A12</f>
        <v>6</v>
      </c>
      <c r="B40" s="23">
        <f>$B$5</f>
        <v>1</v>
      </c>
      <c r="C40" s="10" t="s">
        <v>36</v>
      </c>
      <c r="D40" s="11"/>
      <c r="E40" s="13" t="s">
        <v>32</v>
      </c>
      <c r="F40" s="56">
        <f>SUM(F41:F45)-MIN(F41:F45)</f>
        <v>5254</v>
      </c>
      <c r="G40" s="19">
        <f>F40</f>
        <v>5254</v>
      </c>
      <c r="H40" s="194"/>
      <c r="I40" s="106"/>
      <c r="J40" s="107"/>
      <c r="K40" s="107"/>
      <c r="L40" s="108"/>
      <c r="M40" s="109"/>
      <c r="N40" s="110"/>
      <c r="O40" s="111"/>
      <c r="P40" s="110"/>
      <c r="Q40" s="111"/>
      <c r="R40" s="112"/>
      <c r="S40" s="113"/>
      <c r="U40" s="32"/>
      <c r="V40" s="33"/>
    </row>
    <row r="41" spans="1:22" ht="13.5" thickBot="1">
      <c r="A41" s="147"/>
      <c r="B41" s="148">
        <f>Jednotlivci!L32</f>
        <v>26</v>
      </c>
      <c r="C41" s="15" t="s">
        <v>48</v>
      </c>
      <c r="D41" s="149">
        <v>0</v>
      </c>
      <c r="E41" s="150"/>
      <c r="F41" s="52">
        <f>I41+M41+O41+Q41+S41</f>
        <v>1444</v>
      </c>
      <c r="G41" s="20">
        <f>F40</f>
        <v>5254</v>
      </c>
      <c r="H41" s="195">
        <v>8</v>
      </c>
      <c r="I41" s="167">
        <f aca="true" t="shared" si="0" ref="I41:I46">IF(AND(H41&gt;6.8,H41&lt;11.3),IF(B$5=1,ROUNDDOWN(58.015*(11.26-H41)^1.81,0),ROUNDDOWN(58.015*(11.5-H41)^1.81,)),0)</f>
        <v>492</v>
      </c>
      <c r="J41" s="154">
        <v>2</v>
      </c>
      <c r="K41" s="155" t="s">
        <v>25</v>
      </c>
      <c r="L41" s="156">
        <v>43.13</v>
      </c>
      <c r="M41" s="168">
        <f>V41</f>
        <v>361</v>
      </c>
      <c r="N41" s="100">
        <v>140</v>
      </c>
      <c r="O41" s="169">
        <f>IF(AND(N41&gt;75),ROUNDDOWN(0.8465*(N41-75)^1.42,0),0)</f>
        <v>317</v>
      </c>
      <c r="P41" s="100"/>
      <c r="Q41" s="173">
        <f>IF(AND(P41&gt;210),ROUNDDOWN(0.14354*(P41-220)^1.4,0),0)</f>
        <v>0</v>
      </c>
      <c r="R41" s="104">
        <v>46</v>
      </c>
      <c r="S41" s="158">
        <f>IF(AND(R41&gt;10),ROUNDDOWN(5.33*(R41-10)^1.1,0),0)</f>
        <v>274</v>
      </c>
      <c r="U41" s="25">
        <f>J41*60+L41</f>
        <v>163.13</v>
      </c>
      <c r="V41" s="26">
        <f>IF(U41&gt;0,(INT(POWER(235-U41,1.85)*0.13279)),0)</f>
        <v>361</v>
      </c>
    </row>
    <row r="42" spans="1:22" ht="13.5" thickBot="1">
      <c r="A42" s="143"/>
      <c r="B42" s="138">
        <f>Jednotlivci!L33</f>
        <v>26</v>
      </c>
      <c r="C42" s="9" t="s">
        <v>79</v>
      </c>
      <c r="D42" s="141">
        <v>0</v>
      </c>
      <c r="E42" s="142"/>
      <c r="F42" s="53">
        <f>I42+M42+O42+Q42+S42</f>
        <v>1146</v>
      </c>
      <c r="G42" s="21">
        <f>F40</f>
        <v>5254</v>
      </c>
      <c r="H42" s="198">
        <v>8.4</v>
      </c>
      <c r="I42" s="171">
        <f t="shared" si="0"/>
        <v>388</v>
      </c>
      <c r="J42" s="90">
        <v>2</v>
      </c>
      <c r="K42" s="27" t="s">
        <v>25</v>
      </c>
      <c r="L42" s="94">
        <v>55.92</v>
      </c>
      <c r="M42" s="46">
        <f>V42</f>
        <v>251</v>
      </c>
      <c r="N42" s="98">
        <v>135</v>
      </c>
      <c r="O42" s="50">
        <f>IF(AND(N42&gt;75),ROUNDDOWN(0.8465*(N42-75)^1.42,0),0)</f>
        <v>283</v>
      </c>
      <c r="P42" s="98"/>
      <c r="Q42" s="51">
        <f>IF(AND(P42&gt;210),ROUNDDOWN(0.14354*(P42-220)^1.4,0),0)</f>
        <v>0</v>
      </c>
      <c r="R42" s="102">
        <v>40</v>
      </c>
      <c r="S42" s="160">
        <f>IF(AND(R42&gt;10),ROUNDDOWN(5.33*(R42-10)^1.1,0),0)</f>
        <v>224</v>
      </c>
      <c r="U42" s="25">
        <f>J42*60+L42</f>
        <v>175.92000000000002</v>
      </c>
      <c r="V42" s="26">
        <f>IF(U42&gt;0,(INT(POWER(235-U42,1.85)*0.13279)),0)</f>
        <v>251</v>
      </c>
    </row>
    <row r="43" spans="1:22" ht="13.5" thickBot="1">
      <c r="A43" s="143"/>
      <c r="B43" s="138">
        <f>Jednotlivci!L34</f>
        <v>28</v>
      </c>
      <c r="C43" s="9" t="s">
        <v>80</v>
      </c>
      <c r="D43" s="141">
        <v>0</v>
      </c>
      <c r="E43" s="142"/>
      <c r="F43" s="53">
        <f>I43+M43+O43+Q43+S43</f>
        <v>1398</v>
      </c>
      <c r="G43" s="21">
        <f>F40</f>
        <v>5254</v>
      </c>
      <c r="H43" s="198">
        <v>8.1</v>
      </c>
      <c r="I43" s="171">
        <f t="shared" si="0"/>
        <v>465</v>
      </c>
      <c r="J43" s="91">
        <v>2</v>
      </c>
      <c r="K43" s="28" t="s">
        <v>25</v>
      </c>
      <c r="L43" s="95">
        <v>37.98</v>
      </c>
      <c r="M43" s="46">
        <f>V43</f>
        <v>410</v>
      </c>
      <c r="N43" s="98"/>
      <c r="O43" s="50">
        <f>IF(AND(N43&gt;75),ROUNDDOWN(0.8465*(N43-75)^1.42,0),0)</f>
        <v>0</v>
      </c>
      <c r="P43" s="98">
        <v>443</v>
      </c>
      <c r="Q43" s="51">
        <f>IF(AND(P43&gt;210),ROUNDDOWN(0.14354*(P43-220)^1.4,0),0)</f>
        <v>278</v>
      </c>
      <c r="R43" s="102">
        <v>42.5</v>
      </c>
      <c r="S43" s="160">
        <f>IF(AND(R43&gt;10),ROUNDDOWN(5.33*(R43-10)^1.1,0),0)</f>
        <v>245</v>
      </c>
      <c r="U43" s="25">
        <f>J43*60+L43</f>
        <v>157.98</v>
      </c>
      <c r="V43" s="26">
        <f>IF(U43&gt;0,(INT(POWER(235-U43,1.85)*0.13279)),0)</f>
        <v>410</v>
      </c>
    </row>
    <row r="44" spans="1:22" ht="13.5" thickBot="1">
      <c r="A44" s="143"/>
      <c r="B44" s="138">
        <f>Jednotlivci!L35</f>
        <v>29</v>
      </c>
      <c r="C44" s="9" t="s">
        <v>81</v>
      </c>
      <c r="D44" s="141">
        <v>0</v>
      </c>
      <c r="E44" s="142"/>
      <c r="F44" s="53">
        <f>I44+M44+O44+Q44+S44</f>
        <v>1266</v>
      </c>
      <c r="G44" s="21">
        <f>F40</f>
        <v>5254</v>
      </c>
      <c r="H44" s="198">
        <v>8.2</v>
      </c>
      <c r="I44" s="171">
        <f t="shared" si="0"/>
        <v>439</v>
      </c>
      <c r="J44" s="90">
        <v>2</v>
      </c>
      <c r="K44" s="27" t="s">
        <v>25</v>
      </c>
      <c r="L44" s="94">
        <v>43.82</v>
      </c>
      <c r="M44" s="46">
        <f>V44</f>
        <v>354</v>
      </c>
      <c r="N44" s="98"/>
      <c r="O44" s="50">
        <f>IF(AND(N44&gt;75),ROUNDDOWN(0.8465*(N44-75)^1.42,0),0)</f>
        <v>0</v>
      </c>
      <c r="P44" s="98">
        <v>440</v>
      </c>
      <c r="Q44" s="51">
        <f>IF(AND(P44&gt;210),ROUNDDOWN(0.14354*(P44-220)^1.4,0),0)</f>
        <v>273</v>
      </c>
      <c r="R44" s="102">
        <v>37</v>
      </c>
      <c r="S44" s="160">
        <f>IF(AND(R44&gt;10),ROUNDDOWN(5.33*(R44-10)^1.1,0),0)</f>
        <v>200</v>
      </c>
      <c r="U44" s="25">
        <f>J44*60+L44</f>
        <v>163.82</v>
      </c>
      <c r="V44" s="26">
        <f>IF(U44&gt;0,(INT(POWER(235-U44,1.85)*0.13279)),0)</f>
        <v>354</v>
      </c>
    </row>
    <row r="45" spans="1:22" ht="13.5" thickBot="1">
      <c r="A45" s="144"/>
      <c r="B45" s="145">
        <f>Jednotlivci!L36</f>
        <v>30</v>
      </c>
      <c r="C45" s="16" t="s">
        <v>82</v>
      </c>
      <c r="D45" s="14">
        <v>0</v>
      </c>
      <c r="E45" s="146"/>
      <c r="F45" s="54">
        <f>I45+M45+O45+Q45+S45</f>
        <v>1040</v>
      </c>
      <c r="G45" s="22">
        <f>F40</f>
        <v>5254</v>
      </c>
      <c r="H45" s="199">
        <v>8.2</v>
      </c>
      <c r="I45" s="81">
        <f t="shared" si="0"/>
        <v>439</v>
      </c>
      <c r="J45" s="162">
        <v>2</v>
      </c>
      <c r="K45" s="163" t="s">
        <v>25</v>
      </c>
      <c r="L45" s="164">
        <v>59.54</v>
      </c>
      <c r="M45" s="82">
        <f>V45</f>
        <v>223</v>
      </c>
      <c r="N45" s="99"/>
      <c r="O45" s="83">
        <f>IF(AND(N45&gt;75),ROUNDDOWN(0.8465*(N45-75)^1.42,0),0)</f>
        <v>0</v>
      </c>
      <c r="P45" s="99">
        <v>401</v>
      </c>
      <c r="Q45" s="84">
        <f>IF(AND(P45&gt;210),ROUNDDOWN(0.14354*(P45-220)^1.4,0),0)</f>
        <v>207</v>
      </c>
      <c r="R45" s="103">
        <v>33.5</v>
      </c>
      <c r="S45" s="166">
        <f>IF(AND(R45&gt;10),ROUNDDOWN(5.33*(R45-10)^1.1,0),0)</f>
        <v>171</v>
      </c>
      <c r="U45" s="25">
        <f>J45*60+L45</f>
        <v>179.54</v>
      </c>
      <c r="V45" s="26">
        <f>IF(U45&gt;0,(INT(POWER(235-U45,1.85)*0.13279)),0)</f>
        <v>223</v>
      </c>
    </row>
    <row r="46" spans="2:22" ht="13.5" thickBot="1">
      <c r="B46" s="24"/>
      <c r="F46" s="55"/>
      <c r="G46" s="12">
        <f>F40</f>
        <v>5254</v>
      </c>
      <c r="H46" s="193"/>
      <c r="I46" s="41">
        <f t="shared" si="0"/>
        <v>0</v>
      </c>
      <c r="K46" s="18"/>
      <c r="L46" s="30"/>
      <c r="M46" s="41"/>
      <c r="O46" s="41"/>
      <c r="Q46" s="41"/>
      <c r="S46" s="50"/>
      <c r="U46" s="32"/>
      <c r="V46" s="33"/>
    </row>
    <row r="47" spans="1:22" ht="13.5" thickBot="1">
      <c r="A47" s="115">
        <f>Družstva!A13</f>
        <v>7</v>
      </c>
      <c r="B47" s="23">
        <f>$B$5</f>
        <v>1</v>
      </c>
      <c r="C47" s="10" t="s">
        <v>34</v>
      </c>
      <c r="D47" s="11"/>
      <c r="E47" s="13" t="s">
        <v>32</v>
      </c>
      <c r="F47" s="56">
        <f>SUM(F48:F52)-MIN(F48:F52)</f>
        <v>4217</v>
      </c>
      <c r="G47" s="19">
        <f>F47</f>
        <v>4217</v>
      </c>
      <c r="H47" s="194"/>
      <c r="I47" s="106"/>
      <c r="J47" s="107"/>
      <c r="K47" s="107"/>
      <c r="L47" s="108"/>
      <c r="M47" s="109"/>
      <c r="N47" s="110"/>
      <c r="O47" s="111"/>
      <c r="P47" s="110"/>
      <c r="Q47" s="111"/>
      <c r="R47" s="112"/>
      <c r="S47" s="113"/>
      <c r="U47" s="32"/>
      <c r="V47" s="33"/>
    </row>
    <row r="48" spans="1:22" ht="13.5" thickBot="1">
      <c r="A48" s="147"/>
      <c r="B48" s="148">
        <f>Jednotlivci!L37</f>
        <v>30</v>
      </c>
      <c r="C48" s="15" t="s">
        <v>49</v>
      </c>
      <c r="D48" s="149">
        <v>0</v>
      </c>
      <c r="E48" s="150"/>
      <c r="F48" s="52">
        <f>I48+M48+O48+Q48+S48</f>
        <v>1100</v>
      </c>
      <c r="G48" s="20">
        <f>F47</f>
        <v>4217</v>
      </c>
      <c r="H48" s="190">
        <v>8.7</v>
      </c>
      <c r="I48" s="167">
        <f>IF(AND(H48&gt;6.8,H48&lt;11.3),IF(B$5=1,ROUNDDOWN(58.015*(11.26-H48)^1.81,0),ROUNDDOWN(58.015*(11.5-H48)^1.81,)),0)</f>
        <v>318</v>
      </c>
      <c r="J48" s="154">
        <v>2</v>
      </c>
      <c r="K48" s="155" t="s">
        <v>25</v>
      </c>
      <c r="L48" s="156">
        <v>39.29</v>
      </c>
      <c r="M48" s="168">
        <f>V48</f>
        <v>397</v>
      </c>
      <c r="N48" s="100">
        <v>125</v>
      </c>
      <c r="O48" s="169">
        <f>IF(AND(N48&gt;75),ROUNDDOWN(0.8465*(N48-75)^1.42,0),0)</f>
        <v>218</v>
      </c>
      <c r="P48" s="100">
        <v>0</v>
      </c>
      <c r="Q48" s="173">
        <f>IF(AND(P48&gt;210),ROUNDDOWN(0.14354*(P48-220)^1.4,0),0)</f>
        <v>0</v>
      </c>
      <c r="R48" s="104">
        <v>33</v>
      </c>
      <c r="S48" s="158">
        <f>IF(AND(R48&gt;10),ROUNDDOWN(5.33*(R48-10)^1.1,0),0)</f>
        <v>167</v>
      </c>
      <c r="U48" s="25">
        <f>J48*60+L48</f>
        <v>159.29</v>
      </c>
      <c r="V48" s="26">
        <f>IF(U48&gt;0,(INT(POWER(235-U48,1.85)*0.13279)),0)</f>
        <v>397</v>
      </c>
    </row>
    <row r="49" spans="1:22" ht="13.5" thickBot="1">
      <c r="A49" s="143"/>
      <c r="B49" s="138">
        <f>Jednotlivci!L38</f>
        <v>32</v>
      </c>
      <c r="C49" s="9" t="s">
        <v>83</v>
      </c>
      <c r="D49" s="141">
        <v>0</v>
      </c>
      <c r="E49" s="142"/>
      <c r="F49" s="53">
        <f>I49+M49+O49+Q49+S49</f>
        <v>997</v>
      </c>
      <c r="G49" s="21">
        <f>F47</f>
        <v>4217</v>
      </c>
      <c r="H49" s="191">
        <v>9</v>
      </c>
      <c r="I49" s="171">
        <f>IF(AND(H49&gt;6.8,H49&lt;11.3),IF(B$5=1,ROUNDDOWN(58.015*(11.26-H49)^1.81,0),ROUNDDOWN(58.015*(11.5-H49)^1.81,)),0)</f>
        <v>253</v>
      </c>
      <c r="J49" s="90">
        <v>2</v>
      </c>
      <c r="K49" s="27" t="s">
        <v>25</v>
      </c>
      <c r="L49" s="94">
        <v>45.51</v>
      </c>
      <c r="M49" s="46">
        <f>V49</f>
        <v>339</v>
      </c>
      <c r="N49" s="98">
        <v>130</v>
      </c>
      <c r="O49" s="50">
        <f>IF(AND(N49&gt;75),ROUNDDOWN(0.8465*(N49-75)^1.42,0),0)</f>
        <v>250</v>
      </c>
      <c r="P49" s="98">
        <v>0</v>
      </c>
      <c r="Q49" s="51">
        <f>IF(AND(P49&gt;210),ROUNDDOWN(0.14354*(P49-220)^1.4,0),0)</f>
        <v>0</v>
      </c>
      <c r="R49" s="102">
        <v>31.5</v>
      </c>
      <c r="S49" s="160">
        <f>IF(AND(R49&gt;10),ROUNDDOWN(5.33*(R49-10)^1.1,0),0)</f>
        <v>155</v>
      </c>
      <c r="U49" s="25">
        <f>J49*60+L49</f>
        <v>165.51</v>
      </c>
      <c r="V49" s="26">
        <f>IF(U49&gt;0,(INT(POWER(235-U49,1.85)*0.13279)),0)</f>
        <v>339</v>
      </c>
    </row>
    <row r="50" spans="1:22" ht="13.5" thickBot="1">
      <c r="A50" s="143"/>
      <c r="B50" s="138">
        <f>Jednotlivci!L39</f>
        <v>33</v>
      </c>
      <c r="C50" s="9" t="s">
        <v>85</v>
      </c>
      <c r="D50" s="141">
        <v>0</v>
      </c>
      <c r="E50" s="142"/>
      <c r="F50" s="53">
        <f>I50+M50+O50+Q50+S50</f>
        <v>963</v>
      </c>
      <c r="G50" s="21">
        <f>F47</f>
        <v>4217</v>
      </c>
      <c r="H50" s="191">
        <v>9.5</v>
      </c>
      <c r="I50" s="171">
        <f>IF(AND(H50&gt;6.8,H50&lt;11.3),IF(B$5=1,ROUNDDOWN(58.015*(11.26-H50)^1.81,0),ROUNDDOWN(58.015*(11.5-H50)^1.81,)),0)</f>
        <v>161</v>
      </c>
      <c r="J50" s="91">
        <v>2</v>
      </c>
      <c r="K50" s="28" t="s">
        <v>25</v>
      </c>
      <c r="L50" s="95">
        <v>40.41</v>
      </c>
      <c r="M50" s="46">
        <f>V50</f>
        <v>386</v>
      </c>
      <c r="N50" s="98">
        <v>115</v>
      </c>
      <c r="O50" s="50">
        <f>IF(AND(N50&gt;75),ROUNDDOWN(0.8465*(N50-75)^1.42,0),0)</f>
        <v>159</v>
      </c>
      <c r="P50" s="98">
        <v>0</v>
      </c>
      <c r="Q50" s="51">
        <f>IF(AND(P50&gt;210),ROUNDDOWN(0.14354*(P50-220)^1.4,0),0)</f>
        <v>0</v>
      </c>
      <c r="R50" s="102">
        <v>44</v>
      </c>
      <c r="S50" s="160">
        <f>IF(AND(R50&gt;10),ROUNDDOWN(5.33*(R50-10)^1.1,0),0)</f>
        <v>257</v>
      </c>
      <c r="U50" s="25">
        <f>J50*60+L50</f>
        <v>160.41</v>
      </c>
      <c r="V50" s="26">
        <f>IF(U50&gt;0,(INT(POWER(235-U50,1.85)*0.13279)),0)</f>
        <v>386</v>
      </c>
    </row>
    <row r="51" spans="1:22" ht="13.5" thickBot="1">
      <c r="A51" s="143"/>
      <c r="B51" s="138">
        <f>Jednotlivci!L40</f>
        <v>34</v>
      </c>
      <c r="C51" s="9" t="s">
        <v>84</v>
      </c>
      <c r="D51" s="141">
        <v>0</v>
      </c>
      <c r="E51" s="142"/>
      <c r="F51" s="53">
        <f>I51+M51+O51+Q51+S51</f>
        <v>1157</v>
      </c>
      <c r="G51" s="21">
        <f>F47</f>
        <v>4217</v>
      </c>
      <c r="H51" s="191">
        <v>8.6</v>
      </c>
      <c r="I51" s="171">
        <f>IF(AND(H51&gt;6.8,H51&lt;11.3),IF(B$5=1,ROUNDDOWN(58.015*(11.26-H51)^1.81,0),ROUNDDOWN(58.015*(11.5-H51)^1.81,)),0)</f>
        <v>340</v>
      </c>
      <c r="J51" s="90">
        <v>2</v>
      </c>
      <c r="K51" s="28" t="s">
        <v>25</v>
      </c>
      <c r="L51" s="94">
        <v>41.16</v>
      </c>
      <c r="M51" s="46">
        <f>V51</f>
        <v>379</v>
      </c>
      <c r="N51" s="98"/>
      <c r="O51" s="50">
        <f>IF(AND(N51&gt;75),ROUNDDOWN(0.8465*(N51-75)^1.42,0),0)</f>
        <v>0</v>
      </c>
      <c r="P51" s="98">
        <v>368</v>
      </c>
      <c r="Q51" s="51">
        <f>IF(AND(P51&gt;210),ROUNDDOWN(0.14354*(P51-220)^1.4,0),0)</f>
        <v>156</v>
      </c>
      <c r="R51" s="102">
        <v>47</v>
      </c>
      <c r="S51" s="160">
        <f>IF(AND(R51&gt;10),ROUNDDOWN(5.33*(R51-10)^1.1,0),0)</f>
        <v>282</v>
      </c>
      <c r="U51" s="25">
        <f>J51*60+L51</f>
        <v>161.16</v>
      </c>
      <c r="V51" s="26">
        <f>IF(U51&gt;0,(INT(POWER(235-U51,1.85)*0.13279)),0)</f>
        <v>379</v>
      </c>
    </row>
    <row r="52" spans="1:22" ht="13.5" thickBot="1">
      <c r="A52" s="144"/>
      <c r="B52" s="145">
        <f>Jednotlivci!L41</f>
        <v>35</v>
      </c>
      <c r="C52" s="16" t="s">
        <v>114</v>
      </c>
      <c r="D52" s="14">
        <v>0</v>
      </c>
      <c r="E52" s="146"/>
      <c r="F52" s="54">
        <f>I52+M52+O52+Q52+S52</f>
        <v>831</v>
      </c>
      <c r="G52" s="22">
        <f>F47</f>
        <v>4217</v>
      </c>
      <c r="H52" s="192">
        <v>9.2</v>
      </c>
      <c r="I52" s="81">
        <f>IF(AND(H52&gt;6.8,H52&lt;11.3),IF(B$5=1,ROUNDDOWN(58.015*(11.26-H52)^1.81,0),ROUNDDOWN(58.015*(11.5-H52)^1.81,)),0)</f>
        <v>214</v>
      </c>
      <c r="J52" s="162">
        <v>2</v>
      </c>
      <c r="K52" s="163" t="s">
        <v>25</v>
      </c>
      <c r="L52" s="164">
        <v>56.41</v>
      </c>
      <c r="M52" s="82">
        <f>V52</f>
        <v>247</v>
      </c>
      <c r="N52" s="99"/>
      <c r="O52" s="83">
        <f>IF(AND(N52&gt;75),ROUNDDOWN(0.8465*(N52-75)^1.42,0),0)</f>
        <v>0</v>
      </c>
      <c r="P52" s="99">
        <v>398</v>
      </c>
      <c r="Q52" s="84">
        <f>IF(AND(P52&gt;210),ROUNDDOWN(0.14354*(P52-220)^1.4,0),0)</f>
        <v>203</v>
      </c>
      <c r="R52" s="103">
        <v>33</v>
      </c>
      <c r="S52" s="166">
        <f>IF(AND(R52&gt;10),ROUNDDOWN(5.33*(R52-10)^1.1,0),0)</f>
        <v>167</v>
      </c>
      <c r="U52" s="25">
        <f>J52*60+L52</f>
        <v>176.41</v>
      </c>
      <c r="V52" s="26">
        <f>IF(U52&gt;0,(INT(POWER(235-U52,1.85)*0.13279)),0)</f>
        <v>247</v>
      </c>
    </row>
    <row r="53" spans="2:22" ht="13.5" thickBot="1">
      <c r="B53" s="24"/>
      <c r="F53" s="41"/>
      <c r="G53" s="12">
        <f>F47</f>
        <v>4217</v>
      </c>
      <c r="H53" s="193"/>
      <c r="I53" s="41"/>
      <c r="K53" s="18"/>
      <c r="L53" s="30"/>
      <c r="M53" s="41"/>
      <c r="O53" s="41"/>
      <c r="Q53" s="41"/>
      <c r="S53" s="50"/>
      <c r="U53" s="32"/>
      <c r="V53" s="33"/>
    </row>
    <row r="54" spans="1:22" ht="13.5" thickBot="1">
      <c r="A54" s="115">
        <f>Družstva!A14</f>
        <v>8</v>
      </c>
      <c r="B54" s="23">
        <f>$B$5</f>
        <v>1</v>
      </c>
      <c r="C54" s="10" t="s">
        <v>54</v>
      </c>
      <c r="D54" s="11"/>
      <c r="E54" s="13" t="s">
        <v>32</v>
      </c>
      <c r="F54" s="56">
        <f>SUM(F55:F59)-MIN(F55:F59)</f>
        <v>4712</v>
      </c>
      <c r="G54" s="19">
        <f>F54</f>
        <v>4712</v>
      </c>
      <c r="H54" s="194"/>
      <c r="I54" s="106"/>
      <c r="J54" s="107"/>
      <c r="K54" s="107"/>
      <c r="L54" s="108"/>
      <c r="M54" s="109"/>
      <c r="N54" s="110"/>
      <c r="O54" s="111"/>
      <c r="P54" s="110"/>
      <c r="Q54" s="111"/>
      <c r="R54" s="112"/>
      <c r="S54" s="113"/>
      <c r="U54" s="32"/>
      <c r="V54" s="33"/>
    </row>
    <row r="55" spans="1:22" ht="13.5" thickBot="1">
      <c r="A55" s="147"/>
      <c r="B55" s="148">
        <f>Jednotlivci!L42</f>
        <v>36</v>
      </c>
      <c r="C55" s="15" t="s">
        <v>86</v>
      </c>
      <c r="D55" s="149">
        <v>0</v>
      </c>
      <c r="E55" s="150"/>
      <c r="F55" s="52">
        <f>I55+M55+O55+Q55+S55</f>
        <v>1133</v>
      </c>
      <c r="G55" s="20">
        <f>F54</f>
        <v>4712</v>
      </c>
      <c r="H55" s="195">
        <v>8.5</v>
      </c>
      <c r="I55" s="167">
        <f>IF(AND(H55&gt;6.8,H55&lt;11.3),IF(B$5=1,ROUNDDOWN(58.015*(11.26-H55)^1.81,0),ROUNDDOWN(58.015*(11.5-H55)^1.81,)),0)</f>
        <v>364</v>
      </c>
      <c r="J55" s="154">
        <v>2</v>
      </c>
      <c r="K55" s="155" t="s">
        <v>25</v>
      </c>
      <c r="L55" s="156">
        <v>46.82</v>
      </c>
      <c r="M55" s="168">
        <f>V55</f>
        <v>327</v>
      </c>
      <c r="N55" s="100">
        <v>135</v>
      </c>
      <c r="O55" s="169">
        <f>IF(AND(N55&gt;75),ROUNDDOWN(0.8465*(N55-75)^1.42,0),0)</f>
        <v>283</v>
      </c>
      <c r="P55" s="100"/>
      <c r="Q55" s="173">
        <f>IF(AND(P55&gt;210),ROUNDDOWN(0.14354*(P55-220)^1.4,0),0)</f>
        <v>0</v>
      </c>
      <c r="R55" s="104">
        <v>32</v>
      </c>
      <c r="S55" s="158">
        <f>IF(AND(R55&gt;10),ROUNDDOWN(5.33*(R55-10)^1.1,0),0)</f>
        <v>159</v>
      </c>
      <c r="U55" s="25">
        <f>J55*60+L55</f>
        <v>166.82</v>
      </c>
      <c r="V55" s="26">
        <f>IF(U55&gt;0,(INT(POWER(235-U55,1.85)*0.13279)),0)</f>
        <v>327</v>
      </c>
    </row>
    <row r="56" spans="1:22" ht="13.5" thickBot="1">
      <c r="A56" s="143"/>
      <c r="B56" s="138">
        <f>Jednotlivci!L43</f>
        <v>37</v>
      </c>
      <c r="C56" s="9" t="s">
        <v>87</v>
      </c>
      <c r="D56" s="141">
        <v>0</v>
      </c>
      <c r="E56" s="142"/>
      <c r="F56" s="53">
        <f>I56+M56+O56+Q56+S56</f>
        <v>1390</v>
      </c>
      <c r="G56" s="21">
        <f>F54</f>
        <v>4712</v>
      </c>
      <c r="H56" s="196">
        <v>8.5</v>
      </c>
      <c r="I56" s="171">
        <f>IF(AND(H56&gt;6.8,H56&lt;11.3),IF(B$5=1,ROUNDDOWN(58.015*(11.26-H56)^1.81,0),ROUNDDOWN(58.015*(11.5-H56)^1.81,)),0)</f>
        <v>364</v>
      </c>
      <c r="J56" s="90">
        <v>2</v>
      </c>
      <c r="K56" s="27" t="s">
        <v>25</v>
      </c>
      <c r="L56" s="94">
        <v>31.7</v>
      </c>
      <c r="M56" s="46">
        <f>V56</f>
        <v>474</v>
      </c>
      <c r="N56" s="98">
        <v>145</v>
      </c>
      <c r="O56" s="50">
        <f>IF(AND(N56&gt;75),ROUNDDOWN(0.8465*(N56-75)^1.42,0),0)</f>
        <v>352</v>
      </c>
      <c r="P56" s="98"/>
      <c r="Q56" s="51">
        <f>IF(AND(P56&gt;210),ROUNDDOWN(0.14354*(P56-220)^1.4,0),0)</f>
        <v>0</v>
      </c>
      <c r="R56" s="102">
        <v>37</v>
      </c>
      <c r="S56" s="160">
        <f>IF(AND(R56&gt;10),ROUNDDOWN(5.33*(R56-10)^1.1,0),0)</f>
        <v>200</v>
      </c>
      <c r="U56" s="25">
        <f>J56*60+L56</f>
        <v>151.7</v>
      </c>
      <c r="V56" s="26">
        <f>IF(U56&gt;0,(INT(POWER(235-U56,1.85)*0.13279)),0)</f>
        <v>474</v>
      </c>
    </row>
    <row r="57" spans="1:22" ht="13.5" thickBot="1">
      <c r="A57" s="143"/>
      <c r="B57" s="138">
        <f>Jednotlivci!L44</f>
        <v>38</v>
      </c>
      <c r="C57" s="9" t="s">
        <v>50</v>
      </c>
      <c r="D57" s="141">
        <v>0</v>
      </c>
      <c r="E57" s="142"/>
      <c r="F57" s="53">
        <f>I57+M57+O57+Q57+S57</f>
        <v>870</v>
      </c>
      <c r="G57" s="21">
        <f>F54</f>
        <v>4712</v>
      </c>
      <c r="H57" s="196">
        <v>9.6</v>
      </c>
      <c r="I57" s="171">
        <f>IF(AND(H57&gt;6.8,H57&lt;11.3),IF(B$5=1,ROUNDDOWN(58.015*(11.26-H57)^1.81,0),ROUNDDOWN(58.015*(11.5-H57)^1.81,)),0)</f>
        <v>145</v>
      </c>
      <c r="J57" s="91">
        <v>3</v>
      </c>
      <c r="K57" s="28" t="s">
        <v>25</v>
      </c>
      <c r="L57" s="95">
        <v>1.26</v>
      </c>
      <c r="M57" s="46">
        <f>V57</f>
        <v>210</v>
      </c>
      <c r="N57" s="98">
        <v>135</v>
      </c>
      <c r="O57" s="50">
        <f>IF(AND(N57&gt;75),ROUNDDOWN(0.8465*(N57-75)^1.42,0),0)</f>
        <v>283</v>
      </c>
      <c r="P57" s="98">
        <v>0</v>
      </c>
      <c r="Q57" s="51">
        <f>IF(AND(P57&gt;210),ROUNDDOWN(0.14354*(P57-220)^1.4,0),0)</f>
        <v>0</v>
      </c>
      <c r="R57" s="102">
        <v>41</v>
      </c>
      <c r="S57" s="160">
        <f>IF(AND(R57&gt;10),ROUNDDOWN(5.33*(R57-10)^1.1,0),0)</f>
        <v>232</v>
      </c>
      <c r="U57" s="25">
        <f>J57*60+L57</f>
        <v>181.26</v>
      </c>
      <c r="V57" s="26">
        <f>IF(U57&gt;0,(INT(POWER(235-U57,1.85)*0.13279)),0)</f>
        <v>210</v>
      </c>
    </row>
    <row r="58" spans="1:22" ht="13.5" thickBot="1">
      <c r="A58" s="143"/>
      <c r="B58" s="138">
        <f>Jednotlivci!L45</f>
        <v>39</v>
      </c>
      <c r="C58" s="9" t="s">
        <v>88</v>
      </c>
      <c r="D58" s="141">
        <v>0</v>
      </c>
      <c r="E58" s="142"/>
      <c r="F58" s="53">
        <f>I58+M58+O58+Q58+S58</f>
        <v>1163</v>
      </c>
      <c r="G58" s="21">
        <f>F54</f>
        <v>4712</v>
      </c>
      <c r="H58" s="196">
        <v>8.5</v>
      </c>
      <c r="I58" s="171">
        <f>IF(AND(H58&gt;6.8,H58&lt;11.3),IF(B$5=1,ROUNDDOWN(58.015*(11.26-H58)^1.81,0),ROUNDDOWN(58.015*(11.5-H58)^1.81,)),0)</f>
        <v>364</v>
      </c>
      <c r="J58" s="90">
        <v>2</v>
      </c>
      <c r="K58" s="27" t="s">
        <v>25</v>
      </c>
      <c r="L58" s="94">
        <v>43.54</v>
      </c>
      <c r="M58" s="46">
        <f>V58</f>
        <v>357</v>
      </c>
      <c r="N58" s="98"/>
      <c r="O58" s="50">
        <f>IF(AND(N58&gt;75),ROUNDDOWN(0.8465*(N58-75)^1.42,0),0)</f>
        <v>0</v>
      </c>
      <c r="P58" s="98">
        <v>376</v>
      </c>
      <c r="Q58" s="51">
        <f>IF(AND(P58&gt;210),ROUNDDOWN(0.14354*(P58-220)^1.4,0),0)</f>
        <v>168</v>
      </c>
      <c r="R58" s="102">
        <v>46</v>
      </c>
      <c r="S58" s="160">
        <f>IF(AND(R58&gt;10),ROUNDDOWN(5.33*(R58-10)^1.1,0),0)</f>
        <v>274</v>
      </c>
      <c r="U58" s="25">
        <f>J58*60+L58</f>
        <v>163.54</v>
      </c>
      <c r="V58" s="26">
        <f>IF(U58&gt;0,(INT(POWER(235-U58,1.85)*0.13279)),0)</f>
        <v>357</v>
      </c>
    </row>
    <row r="59" spans="1:22" ht="13.5" thickBot="1">
      <c r="A59" s="144"/>
      <c r="B59" s="145">
        <f>Jednotlivci!L46</f>
        <v>40</v>
      </c>
      <c r="C59" s="16" t="s">
        <v>89</v>
      </c>
      <c r="D59" s="14">
        <v>0</v>
      </c>
      <c r="E59" s="146"/>
      <c r="F59" s="54">
        <f>I59+M59+O59+Q59+S59</f>
        <v>1026</v>
      </c>
      <c r="G59" s="22">
        <f>F54</f>
        <v>4712</v>
      </c>
      <c r="H59" s="197">
        <v>9</v>
      </c>
      <c r="I59" s="81">
        <f>IF(AND(H59&gt;6.8,H59&lt;11.3),IF(B$5=1,ROUNDDOWN(58.015*(11.26-H59)^1.81,0),ROUNDDOWN(58.015*(11.5-H59)^1.81,)),0)</f>
        <v>253</v>
      </c>
      <c r="J59" s="162">
        <v>2</v>
      </c>
      <c r="K59" s="163" t="s">
        <v>25</v>
      </c>
      <c r="L59" s="164">
        <v>53.51</v>
      </c>
      <c r="M59" s="82">
        <f>V59</f>
        <v>270</v>
      </c>
      <c r="N59" s="99"/>
      <c r="O59" s="83">
        <f>IF(AND(N59&gt;75),ROUNDDOWN(0.8465*(N59-75)^1.42,0),0)</f>
        <v>0</v>
      </c>
      <c r="P59" s="99">
        <v>419</v>
      </c>
      <c r="Q59" s="84">
        <f>IF(AND(P59&gt;210),ROUNDDOWN(0.14354*(P59-220)^1.4,0),0)</f>
        <v>237</v>
      </c>
      <c r="R59" s="103">
        <v>45</v>
      </c>
      <c r="S59" s="166">
        <f>IF(AND(R59&gt;10),ROUNDDOWN(5.33*(R59-10)^1.1,0),0)</f>
        <v>266</v>
      </c>
      <c r="U59" s="25">
        <f>J59*60+L59</f>
        <v>173.51</v>
      </c>
      <c r="V59" s="26">
        <f>IF(U59&gt;0,(INT(POWER(235-U59,1.85)*0.13279)),0)</f>
        <v>270</v>
      </c>
    </row>
    <row r="60" spans="2:22" ht="13.5" thickBot="1">
      <c r="B60" s="24"/>
      <c r="F60" s="41"/>
      <c r="G60" s="12">
        <f>F54</f>
        <v>4712</v>
      </c>
      <c r="H60" s="193"/>
      <c r="I60" s="41"/>
      <c r="K60" s="18"/>
      <c r="L60" s="30"/>
      <c r="M60" s="41"/>
      <c r="O60" s="41"/>
      <c r="Q60" s="41"/>
      <c r="S60" s="50"/>
      <c r="U60" s="32"/>
      <c r="V60" s="33"/>
    </row>
    <row r="61" spans="1:22" ht="13.5" thickBot="1">
      <c r="A61" s="115">
        <f>Družstva!A15</f>
        <v>9</v>
      </c>
      <c r="B61" s="23">
        <f>$B$5</f>
        <v>1</v>
      </c>
      <c r="C61" s="10" t="s">
        <v>33</v>
      </c>
      <c r="D61" s="11"/>
      <c r="E61" s="13" t="s">
        <v>32</v>
      </c>
      <c r="F61" s="56">
        <f>SUM(F62:F66)-MIN(F62:F66)</f>
        <v>4691</v>
      </c>
      <c r="G61" s="19">
        <f>F61</f>
        <v>4691</v>
      </c>
      <c r="H61" s="194"/>
      <c r="I61" s="106"/>
      <c r="J61" s="107"/>
      <c r="K61" s="107"/>
      <c r="L61" s="108"/>
      <c r="M61" s="109"/>
      <c r="N61" s="110"/>
      <c r="O61" s="111"/>
      <c r="P61" s="110"/>
      <c r="Q61" s="111"/>
      <c r="R61" s="112"/>
      <c r="S61" s="113"/>
      <c r="U61" s="32"/>
      <c r="V61" s="33"/>
    </row>
    <row r="62" spans="1:22" ht="13.5" thickBot="1">
      <c r="A62" s="147"/>
      <c r="B62" s="148">
        <f>Jednotlivci!L47</f>
        <v>41</v>
      </c>
      <c r="C62" s="15" t="s">
        <v>51</v>
      </c>
      <c r="D62" s="149">
        <v>0</v>
      </c>
      <c r="E62" s="150"/>
      <c r="F62" s="52">
        <f>I62+M62+O62+Q62+S62</f>
        <v>1243</v>
      </c>
      <c r="G62" s="20">
        <f>F61</f>
        <v>4691</v>
      </c>
      <c r="H62" s="190">
        <v>8.2</v>
      </c>
      <c r="I62" s="167">
        <f>IF(AND(H62&gt;6.8,H62&lt;11.3),IF(B$5=1,ROUNDDOWN(58.015*(11.26-H62)^1.81,0),ROUNDDOWN(58.015*(11.5-H62)^1.81,)),0)</f>
        <v>439</v>
      </c>
      <c r="J62" s="154">
        <v>2</v>
      </c>
      <c r="K62" s="155" t="s">
        <v>25</v>
      </c>
      <c r="L62" s="156">
        <v>49.48</v>
      </c>
      <c r="M62" s="168">
        <f>V62</f>
        <v>304</v>
      </c>
      <c r="N62" s="100">
        <v>140</v>
      </c>
      <c r="O62" s="169">
        <f>IF(AND(N62&gt;75),ROUNDDOWN(0.8465*(N62-75)^1.42,0),0)</f>
        <v>317</v>
      </c>
      <c r="P62" s="100"/>
      <c r="Q62" s="173">
        <f>IF(AND(P62&gt;210),ROUNDDOWN(0.14354*(P62-220)^1.4,0),0)</f>
        <v>0</v>
      </c>
      <c r="R62" s="104">
        <v>35</v>
      </c>
      <c r="S62" s="158">
        <f>IF(AND(R62&gt;10),ROUNDDOWN(5.33*(R62-10)^1.1,0),0)</f>
        <v>183</v>
      </c>
      <c r="U62" s="25">
        <f>J62*60+L62</f>
        <v>169.48</v>
      </c>
      <c r="V62" s="26">
        <f>IF(U62&gt;0,(INT(POWER(235-U62,1.85)*0.13279)),0)</f>
        <v>304</v>
      </c>
    </row>
    <row r="63" spans="1:22" ht="13.5" thickBot="1">
      <c r="A63" s="143"/>
      <c r="B63" s="138">
        <f>Jednotlivci!L48</f>
        <v>41</v>
      </c>
      <c r="C63" s="9" t="s">
        <v>90</v>
      </c>
      <c r="D63" s="141">
        <v>0</v>
      </c>
      <c r="E63" s="142"/>
      <c r="F63" s="53">
        <f>I63+M63+O63+Q63+S63</f>
        <v>1219</v>
      </c>
      <c r="G63" s="21">
        <f>F61</f>
        <v>4691</v>
      </c>
      <c r="H63" s="191">
        <v>8.7</v>
      </c>
      <c r="I63" s="171">
        <f>IF(AND(H63&gt;6.8,H63&lt;11.3),IF(B$5=1,ROUNDDOWN(58.015*(11.26-H63)^1.81,0),ROUNDDOWN(58.015*(11.5-H63)^1.81,)),0)</f>
        <v>318</v>
      </c>
      <c r="J63" s="90">
        <v>2</v>
      </c>
      <c r="K63" s="27" t="s">
        <v>25</v>
      </c>
      <c r="L63" s="94">
        <v>41.41</v>
      </c>
      <c r="M63" s="46">
        <f>V63</f>
        <v>377</v>
      </c>
      <c r="N63" s="98">
        <v>135</v>
      </c>
      <c r="O63" s="50">
        <f>IF(AND(N63&gt;75),ROUNDDOWN(0.8465*(N63-75)^1.42,0),0)</f>
        <v>283</v>
      </c>
      <c r="P63" s="98"/>
      <c r="Q63" s="51">
        <f>IF(AND(P63&gt;210),ROUNDDOWN(0.14354*(P63-220)^1.4,0),0)</f>
        <v>0</v>
      </c>
      <c r="R63" s="102">
        <v>42</v>
      </c>
      <c r="S63" s="160">
        <f>IF(AND(R63&gt;10),ROUNDDOWN(5.33*(R63-10)^1.1,0),0)</f>
        <v>241</v>
      </c>
      <c r="U63" s="25">
        <f>J63*60+L63</f>
        <v>161.41</v>
      </c>
      <c r="V63" s="26">
        <f>IF(U63&gt;0,(INT(POWER(235-U63,1.85)*0.13279)),0)</f>
        <v>377</v>
      </c>
    </row>
    <row r="64" spans="1:22" ht="13.5" thickBot="1">
      <c r="A64" s="143"/>
      <c r="B64" s="138">
        <f>Jednotlivci!L49</f>
        <v>43</v>
      </c>
      <c r="C64" s="9" t="s">
        <v>118</v>
      </c>
      <c r="D64" s="141">
        <v>0</v>
      </c>
      <c r="E64" s="142"/>
      <c r="F64" s="53">
        <f>I64+M64+O64+Q64+S64</f>
        <v>1058</v>
      </c>
      <c r="G64" s="21">
        <f>F61</f>
        <v>4691</v>
      </c>
      <c r="H64" s="191">
        <v>8.5</v>
      </c>
      <c r="I64" s="171">
        <f>IF(AND(H64&gt;6.8,H64&lt;11.3),IF(B$5=1,ROUNDDOWN(58.015*(11.26-H64)^1.81,0),ROUNDDOWN(58.015*(11.5-H64)^1.81,)),0)</f>
        <v>364</v>
      </c>
      <c r="J64" s="91">
        <v>2</v>
      </c>
      <c r="K64" s="28" t="s">
        <v>25</v>
      </c>
      <c r="L64" s="95">
        <v>54.51</v>
      </c>
      <c r="M64" s="46">
        <f>V64</f>
        <v>262</v>
      </c>
      <c r="N64" s="98"/>
      <c r="O64" s="50">
        <f>IF(AND(N64&gt;75),ROUNDDOWN(0.8465*(N64-75)^1.42,0),0)</f>
        <v>0</v>
      </c>
      <c r="P64" s="98">
        <v>393</v>
      </c>
      <c r="Q64" s="51">
        <f>IF(AND(P64&gt;210),ROUNDDOWN(0.14354*(P64-220)^1.4,0),0)</f>
        <v>195</v>
      </c>
      <c r="R64" s="102">
        <v>41.5</v>
      </c>
      <c r="S64" s="160">
        <f>IF(AND(R64&gt;10),ROUNDDOWN(5.33*(R64-10)^1.1,0),0)</f>
        <v>237</v>
      </c>
      <c r="U64" s="25">
        <f>J64*60+L64</f>
        <v>174.51</v>
      </c>
      <c r="V64" s="26">
        <f>IF(U64&gt;0,(INT(POWER(235-U64,1.85)*0.13279)),0)</f>
        <v>262</v>
      </c>
    </row>
    <row r="65" spans="1:22" ht="13.5" thickBot="1">
      <c r="A65" s="143"/>
      <c r="B65" s="138">
        <f>Jednotlivci!L50</f>
        <v>44</v>
      </c>
      <c r="C65" s="9" t="s">
        <v>117</v>
      </c>
      <c r="D65" s="141">
        <v>0</v>
      </c>
      <c r="E65" s="142"/>
      <c r="F65" s="53">
        <f>I65+M65+O65+Q65+S65</f>
        <v>834</v>
      </c>
      <c r="G65" s="21">
        <f>F61</f>
        <v>4691</v>
      </c>
      <c r="H65" s="191">
        <v>9.4</v>
      </c>
      <c r="I65" s="171">
        <f>IF(AND(H65&gt;6.8,H65&lt;11.3),IF(B$5=1,ROUNDDOWN(58.015*(11.26-H65)^1.81,0),ROUNDDOWN(58.015*(11.5-H65)^1.81,)),0)</f>
        <v>178</v>
      </c>
      <c r="J65" s="90">
        <v>2</v>
      </c>
      <c r="K65" s="27" t="s">
        <v>25</v>
      </c>
      <c r="L65" s="94">
        <v>44.89</v>
      </c>
      <c r="M65" s="46">
        <f>V65</f>
        <v>345</v>
      </c>
      <c r="N65" s="98"/>
      <c r="O65" s="50">
        <f>IF(AND(N65&gt;75),ROUNDDOWN(0.8465*(N65-75)^1.42,0),0)</f>
        <v>0</v>
      </c>
      <c r="P65" s="98">
        <v>336</v>
      </c>
      <c r="Q65" s="51">
        <f>IF(AND(P65&gt;210),ROUNDDOWN(0.14354*(P65-220)^1.4,0),0)</f>
        <v>111</v>
      </c>
      <c r="R65" s="102">
        <v>37</v>
      </c>
      <c r="S65" s="160">
        <f>IF(AND(R65&gt;10),ROUNDDOWN(5.33*(R65-10)^1.1,0),0)</f>
        <v>200</v>
      </c>
      <c r="U65" s="25">
        <f>J65*60+L65</f>
        <v>164.89</v>
      </c>
      <c r="V65" s="26">
        <f>IF(U65&gt;0,(INT(POWER(235-U65,1.85)*0.13279)),0)</f>
        <v>345</v>
      </c>
    </row>
    <row r="66" spans="1:22" ht="13.5" thickBot="1">
      <c r="A66" s="144"/>
      <c r="B66" s="145">
        <f>Jednotlivci!L51</f>
        <v>45</v>
      </c>
      <c r="C66" s="16" t="s">
        <v>91</v>
      </c>
      <c r="D66" s="14">
        <v>0</v>
      </c>
      <c r="E66" s="146"/>
      <c r="F66" s="54">
        <f>I66+M66+O66+Q66+S66</f>
        <v>1171</v>
      </c>
      <c r="G66" s="22">
        <f>F61</f>
        <v>4691</v>
      </c>
      <c r="H66" s="192">
        <v>8.3</v>
      </c>
      <c r="I66" s="81">
        <f>IF(AND(H66&gt;6.8,H66&lt;11.3),IF(B$5=1,ROUNDDOWN(58.015*(11.26-H66)^1.81,0),ROUNDDOWN(58.015*(11.5-H66)^1.81,)),0)</f>
        <v>413</v>
      </c>
      <c r="J66" s="162">
        <v>2</v>
      </c>
      <c r="K66" s="163" t="s">
        <v>25</v>
      </c>
      <c r="L66" s="164">
        <v>46.11</v>
      </c>
      <c r="M66" s="82">
        <f>V66</f>
        <v>334</v>
      </c>
      <c r="N66" s="99"/>
      <c r="O66" s="83">
        <f>IF(AND(N66&gt;75),ROUNDDOWN(0.8465*(N66-75)^1.42,0),0)</f>
        <v>0</v>
      </c>
      <c r="P66" s="99">
        <v>426</v>
      </c>
      <c r="Q66" s="84">
        <f>IF(AND(P66&gt;210),ROUNDDOWN(0.14354*(P66-220)^1.4,0),0)</f>
        <v>249</v>
      </c>
      <c r="R66" s="103">
        <v>34</v>
      </c>
      <c r="S66" s="166">
        <f>IF(AND(R66&gt;10),ROUNDDOWN(5.33*(R66-10)^1.1,0),0)</f>
        <v>175</v>
      </c>
      <c r="U66" s="25">
        <f>J66*60+L66</f>
        <v>166.11</v>
      </c>
      <c r="V66" s="26">
        <f>IF(U66&gt;0,(INT(POWER(235-U66,1.85)*0.13279)),0)</f>
        <v>334</v>
      </c>
    </row>
    <row r="67" spans="2:22" ht="13.5" thickBot="1">
      <c r="B67" s="24"/>
      <c r="F67" s="41"/>
      <c r="G67" s="12">
        <f>F61</f>
        <v>4691</v>
      </c>
      <c r="H67" s="193"/>
      <c r="I67" s="41"/>
      <c r="K67" s="18"/>
      <c r="L67" s="30"/>
      <c r="M67" s="41"/>
      <c r="O67" s="41"/>
      <c r="Q67" s="41"/>
      <c r="S67" s="50"/>
      <c r="U67" s="32"/>
      <c r="V67" s="33"/>
    </row>
    <row r="68" spans="1:22" ht="13.5" thickBot="1">
      <c r="A68" s="139">
        <f>Družstva!A16</f>
        <v>10</v>
      </c>
      <c r="B68" s="23">
        <f>$B$5</f>
        <v>1</v>
      </c>
      <c r="C68" s="10" t="s">
        <v>37</v>
      </c>
      <c r="D68" s="11"/>
      <c r="E68" s="13" t="s">
        <v>32</v>
      </c>
      <c r="F68" s="56">
        <f>SUM(F69:F73)-MIN(F69:F73)</f>
        <v>4910</v>
      </c>
      <c r="G68" s="19">
        <f>F68</f>
        <v>4910</v>
      </c>
      <c r="H68" s="194"/>
      <c r="I68" s="106"/>
      <c r="J68" s="107"/>
      <c r="K68" s="107"/>
      <c r="L68" s="108"/>
      <c r="M68" s="109"/>
      <c r="N68" s="110"/>
      <c r="O68" s="111"/>
      <c r="P68" s="110"/>
      <c r="Q68" s="111"/>
      <c r="R68" s="112"/>
      <c r="S68" s="113"/>
      <c r="U68" s="32"/>
      <c r="V68" s="33"/>
    </row>
    <row r="69" spans="1:22" ht="13.5" thickBot="1">
      <c r="A69" s="140"/>
      <c r="B69" s="188">
        <f>Jednotlivci!L52</f>
        <v>46</v>
      </c>
      <c r="C69" s="151" t="s">
        <v>113</v>
      </c>
      <c r="D69" s="141"/>
      <c r="E69" s="142"/>
      <c r="F69" s="52">
        <f>I69+M69+O69+Q69+S69</f>
        <v>976</v>
      </c>
      <c r="G69" s="20">
        <f>F68</f>
        <v>4910</v>
      </c>
      <c r="H69" s="190">
        <v>9.4</v>
      </c>
      <c r="I69" s="167">
        <f>IF(AND(H69&gt;6.8,H69&lt;11.3),IF(B$5=1,ROUNDDOWN(58.015*(11.26-H69)^1.81,0),ROUNDDOWN(58.015*(11.5-H69)^1.81,)),0)</f>
        <v>178</v>
      </c>
      <c r="J69" s="154">
        <v>2</v>
      </c>
      <c r="K69" s="155" t="s">
        <v>25</v>
      </c>
      <c r="L69" s="156">
        <v>52.06</v>
      </c>
      <c r="M69" s="168">
        <f>V69</f>
        <v>282</v>
      </c>
      <c r="N69" s="100">
        <v>130</v>
      </c>
      <c r="O69" s="169">
        <f>IF(AND(N69&gt;75),ROUNDDOWN(0.8465*(N69-75)^1.42,0),0)</f>
        <v>250</v>
      </c>
      <c r="P69" s="100"/>
      <c r="Q69" s="173">
        <f>IF(AND(P69&gt;210),ROUNDDOWN(0.14354*(P69-220)^1.4,0),0)</f>
        <v>0</v>
      </c>
      <c r="R69" s="104">
        <v>45</v>
      </c>
      <c r="S69" s="158">
        <f>IF(AND(R69&gt;10),ROUNDDOWN(5.33*(R69-10)^1.1,0),0)</f>
        <v>266</v>
      </c>
      <c r="U69" s="25">
        <f>J69*60+L69</f>
        <v>172.06</v>
      </c>
      <c r="V69" s="26">
        <f>IF(U69&gt;0,(INT(POWER(235-U69,1.85)*0.13279)),0)</f>
        <v>282</v>
      </c>
    </row>
    <row r="70" spans="1:22" ht="13.5" thickBot="1">
      <c r="A70" s="143"/>
      <c r="B70" s="183">
        <f>Jednotlivci!L53</f>
        <v>47</v>
      </c>
      <c r="C70" s="180" t="s">
        <v>92</v>
      </c>
      <c r="D70" s="141"/>
      <c r="E70" s="142"/>
      <c r="F70" s="53">
        <f>I70+M70+O70+Q70+S70</f>
        <v>1045</v>
      </c>
      <c r="G70" s="21">
        <f>F68</f>
        <v>4910</v>
      </c>
      <c r="H70" s="191">
        <v>8.3</v>
      </c>
      <c r="I70" s="171">
        <f>IF(AND(H70&gt;6.8,H70&lt;11.3),IF(B$5=1,ROUNDDOWN(58.015*(11.26-H70)^1.81,0),ROUNDDOWN(58.015*(11.5-H70)^1.81,)),0)</f>
        <v>413</v>
      </c>
      <c r="J70" s="90">
        <v>2</v>
      </c>
      <c r="K70" s="27" t="s">
        <v>25</v>
      </c>
      <c r="L70" s="94">
        <v>48.89</v>
      </c>
      <c r="M70" s="46">
        <f>V70</f>
        <v>309</v>
      </c>
      <c r="N70" s="98">
        <v>120</v>
      </c>
      <c r="O70" s="50">
        <f>IF(AND(N70&gt;75),ROUNDDOWN(0.8465*(N70-75)^1.42,0),0)</f>
        <v>188</v>
      </c>
      <c r="P70" s="98"/>
      <c r="Q70" s="51">
        <f>IF(AND(P70&gt;210),ROUNDDOWN(0.14354*(P70-220)^1.4,0),0)</f>
        <v>0</v>
      </c>
      <c r="R70" s="102">
        <v>29</v>
      </c>
      <c r="S70" s="160">
        <f>IF(AND(R70&gt;10),ROUNDDOWN(5.33*(R70-10)^1.1,0),0)</f>
        <v>135</v>
      </c>
      <c r="U70" s="25">
        <f>J70*60+L70</f>
        <v>168.89</v>
      </c>
      <c r="V70" s="26">
        <f>IF(U70&gt;0,(INT(POWER(235-U70,1.85)*0.13279)),0)</f>
        <v>309</v>
      </c>
    </row>
    <row r="71" spans="1:22" ht="13.5" thickBot="1">
      <c r="A71" s="143"/>
      <c r="B71" s="183">
        <f>Jednotlivci!L54</f>
        <v>48</v>
      </c>
      <c r="C71" s="180" t="s">
        <v>93</v>
      </c>
      <c r="D71" s="141"/>
      <c r="E71" s="142"/>
      <c r="F71" s="53">
        <f>I71+M71+O71+Q71+S71</f>
        <v>1100</v>
      </c>
      <c r="G71" s="21">
        <f>F68</f>
        <v>4910</v>
      </c>
      <c r="H71" s="191">
        <v>8.3</v>
      </c>
      <c r="I71" s="171">
        <f>IF(AND(H71&gt;6.8,H71&lt;11.3),IF(B$5=1,ROUNDDOWN(58.015*(11.26-H71)^1.81,0),ROUNDDOWN(58.015*(11.5-H71)^1.81,)),0)</f>
        <v>413</v>
      </c>
      <c r="J71" s="91">
        <v>2</v>
      </c>
      <c r="K71" s="28" t="s">
        <v>25</v>
      </c>
      <c r="L71" s="95">
        <v>55.29</v>
      </c>
      <c r="M71" s="46">
        <f>V71</f>
        <v>256</v>
      </c>
      <c r="N71" s="98"/>
      <c r="O71" s="50">
        <f>IF(AND(N71&gt;75),ROUNDDOWN(0.8465*(N71-75)^1.42,0),0)</f>
        <v>0</v>
      </c>
      <c r="P71" s="98">
        <v>442</v>
      </c>
      <c r="Q71" s="51">
        <f>IF(AND(P71&gt;210),ROUNDDOWN(0.14354*(P71-220)^1.4,0),0)</f>
        <v>276</v>
      </c>
      <c r="R71" s="102">
        <v>31.5</v>
      </c>
      <c r="S71" s="160">
        <f>IF(AND(R71&gt;10),ROUNDDOWN(5.33*(R71-10)^1.1,0),0)</f>
        <v>155</v>
      </c>
      <c r="U71" s="25">
        <f>J71*60+L71</f>
        <v>175.29</v>
      </c>
      <c r="V71" s="26">
        <f>IF(U71&gt;0,(INT(POWER(235-U71,1.85)*0.13279)),0)</f>
        <v>256</v>
      </c>
    </row>
    <row r="72" spans="1:22" ht="13.5" thickBot="1">
      <c r="A72" s="143"/>
      <c r="B72" s="183">
        <f>Jednotlivci!L55</f>
        <v>49</v>
      </c>
      <c r="C72" s="180" t="s">
        <v>94</v>
      </c>
      <c r="D72" s="141"/>
      <c r="E72" s="142"/>
      <c r="F72" s="53">
        <f>I72+M72+O72+Q72+S72</f>
        <v>1389</v>
      </c>
      <c r="G72" s="21">
        <f>F68</f>
        <v>4910</v>
      </c>
      <c r="H72" s="191">
        <v>8.3</v>
      </c>
      <c r="I72" s="171">
        <f>IF(AND(H72&gt;6.8,H72&lt;11.3),IF(B$5=1,ROUNDDOWN(58.015*(11.26-H72)^1.81,0),ROUNDDOWN(58.015*(11.5-H72)^1.81,)),0)</f>
        <v>413</v>
      </c>
      <c r="J72" s="90">
        <v>2</v>
      </c>
      <c r="K72" s="27" t="s">
        <v>25</v>
      </c>
      <c r="L72" s="94">
        <v>36.82</v>
      </c>
      <c r="M72" s="46">
        <f>V72</f>
        <v>422</v>
      </c>
      <c r="N72" s="98"/>
      <c r="O72" s="50">
        <f>IF(AND(N72&gt;75),ROUNDDOWN(0.8465*(N72-75)^1.42,0),0)</f>
        <v>0</v>
      </c>
      <c r="P72" s="98">
        <v>365</v>
      </c>
      <c r="Q72" s="51">
        <f>IF(AND(P72&gt;210),ROUNDDOWN(0.14354*(P72-220)^1.4,0),0)</f>
        <v>152</v>
      </c>
      <c r="R72" s="102">
        <v>61</v>
      </c>
      <c r="S72" s="160">
        <f>IF(AND(R72&gt;10),ROUNDDOWN(5.33*(R72-10)^1.1,0),0)</f>
        <v>402</v>
      </c>
      <c r="U72" s="25">
        <f>J72*60+L72</f>
        <v>156.82</v>
      </c>
      <c r="V72" s="26">
        <f>IF(U72&gt;0,(INT(POWER(235-U72,1.85)*0.13279)),0)</f>
        <v>422</v>
      </c>
    </row>
    <row r="73" spans="1:22" ht="13.5" thickBot="1">
      <c r="A73" s="144"/>
      <c r="B73" s="189">
        <f>Jednotlivci!L56</f>
        <v>50</v>
      </c>
      <c r="C73" s="181" t="s">
        <v>95</v>
      </c>
      <c r="D73" s="14"/>
      <c r="E73" s="146"/>
      <c r="F73" s="54">
        <f>I73+M73+O73+Q73+S73</f>
        <v>1376</v>
      </c>
      <c r="G73" s="22">
        <f>F68</f>
        <v>4910</v>
      </c>
      <c r="H73" s="192">
        <v>8.3</v>
      </c>
      <c r="I73" s="81">
        <f>IF(AND(H73&gt;6.8,H73&lt;11.3),IF(B$5=1,ROUNDDOWN(58.015*(11.26-H73)^1.81,0),ROUNDDOWN(58.015*(11.5-H73)^1.81,)),0)</f>
        <v>413</v>
      </c>
      <c r="J73" s="162">
        <v>2</v>
      </c>
      <c r="K73" s="163" t="s">
        <v>25</v>
      </c>
      <c r="L73" s="164">
        <v>48.26</v>
      </c>
      <c r="M73" s="82">
        <f>V73</f>
        <v>314</v>
      </c>
      <c r="N73" s="99"/>
      <c r="O73" s="83">
        <f>IF(AND(N73&gt;75),ROUNDDOWN(0.8465*(N73-75)^1.42,0),0)</f>
        <v>0</v>
      </c>
      <c r="P73" s="99">
        <v>450</v>
      </c>
      <c r="Q73" s="84">
        <f>IF(AND(P73&gt;210),ROUNDDOWN(0.14354*(P73-220)^1.4,0),0)</f>
        <v>290</v>
      </c>
      <c r="R73" s="103">
        <v>56</v>
      </c>
      <c r="S73" s="166">
        <f>IF(AND(R73&gt;10),ROUNDDOWN(5.33*(R73-10)^1.1,0),0)</f>
        <v>359</v>
      </c>
      <c r="U73" s="25">
        <f>J73*60+L73</f>
        <v>168.26</v>
      </c>
      <c r="V73" s="26">
        <f>IF(U73&gt;0,(INT(POWER(235-U73,1.85)*0.13279)),0)</f>
        <v>314</v>
      </c>
    </row>
    <row r="74" spans="2:8" ht="13.5" thickBot="1">
      <c r="B74" s="24"/>
      <c r="G74" s="12">
        <f>F68</f>
        <v>4910</v>
      </c>
      <c r="H74" s="200"/>
    </row>
    <row r="75" spans="1:22" ht="13.5" thickBot="1">
      <c r="A75" s="115">
        <f>Družstva!A17</f>
        <v>11</v>
      </c>
      <c r="B75" s="23">
        <f>$B$5</f>
        <v>1</v>
      </c>
      <c r="C75" s="10" t="s">
        <v>96</v>
      </c>
      <c r="D75" s="11"/>
      <c r="E75" s="13" t="s">
        <v>32</v>
      </c>
      <c r="F75" s="56">
        <f>SUM(F76:F80)-MIN(F76:F80)</f>
        <v>3871</v>
      </c>
      <c r="G75" s="19">
        <f>F75</f>
        <v>3871</v>
      </c>
      <c r="H75" s="194"/>
      <c r="I75" s="106"/>
      <c r="J75" s="107"/>
      <c r="K75" s="107"/>
      <c r="L75" s="108"/>
      <c r="M75" s="109"/>
      <c r="N75" s="110"/>
      <c r="O75" s="111"/>
      <c r="P75" s="110"/>
      <c r="Q75" s="111"/>
      <c r="R75" s="112"/>
      <c r="S75" s="113"/>
      <c r="U75" s="32"/>
      <c r="V75" s="33"/>
    </row>
    <row r="76" spans="1:22" ht="13.5" thickBot="1">
      <c r="A76" s="147"/>
      <c r="B76" s="148">
        <f>Jednotlivci!L57</f>
        <v>51</v>
      </c>
      <c r="C76" s="15" t="s">
        <v>97</v>
      </c>
      <c r="D76" s="149"/>
      <c r="E76" s="150"/>
      <c r="F76" s="52">
        <f>I76+M76+O76+Q76+S76</f>
        <v>778</v>
      </c>
      <c r="G76" s="20">
        <f>F75</f>
        <v>3871</v>
      </c>
      <c r="H76" s="190">
        <v>9.1</v>
      </c>
      <c r="I76" s="167">
        <f>IF(AND(H76&gt;6.8,H76&lt;11.3),IF(B$5=1,ROUNDDOWN(58.015*(11.26-H76)^1.81,0),ROUNDDOWN(58.015*(11.5-H76)^1.81,)),0)</f>
        <v>233</v>
      </c>
      <c r="J76" s="154">
        <v>3</v>
      </c>
      <c r="K76" s="155" t="s">
        <v>25</v>
      </c>
      <c r="L76" s="156">
        <v>6.2</v>
      </c>
      <c r="M76" s="168">
        <f>V76</f>
        <v>176</v>
      </c>
      <c r="N76" s="100">
        <v>125</v>
      </c>
      <c r="O76" s="169">
        <f>IF(AND(N76&gt;75),ROUNDDOWN(0.8465*(N76-75)^1.42,0),0)</f>
        <v>218</v>
      </c>
      <c r="P76" s="100"/>
      <c r="Q76" s="173">
        <f>IF(AND(P76&gt;210),ROUNDDOWN(0.14354*(P76-220)^1.4,0),0)</f>
        <v>0</v>
      </c>
      <c r="R76" s="104">
        <v>31</v>
      </c>
      <c r="S76" s="158">
        <f>IF(AND(R76&gt;10),ROUNDDOWN(5.33*(R76-10)^1.1,0),0)</f>
        <v>151</v>
      </c>
      <c r="U76" s="25">
        <f>J76*60+L76</f>
        <v>186.2</v>
      </c>
      <c r="V76" s="26">
        <f>IF(U76&gt;0,(INT(POWER(235-U76,1.85)*0.13279)),0)</f>
        <v>176</v>
      </c>
    </row>
    <row r="77" spans="1:22" ht="13.5" thickBot="1">
      <c r="A77" s="143"/>
      <c r="B77" s="138">
        <f>Jednotlivci!L58</f>
        <v>52</v>
      </c>
      <c r="C77" s="9" t="s">
        <v>98</v>
      </c>
      <c r="D77" s="141"/>
      <c r="E77" s="142"/>
      <c r="F77" s="53">
        <f>I77+M77+O77+Q77+S77</f>
        <v>913</v>
      </c>
      <c r="G77" s="21">
        <f>F75</f>
        <v>3871</v>
      </c>
      <c r="H77" s="191">
        <v>9.2</v>
      </c>
      <c r="I77" s="171">
        <f>IF(AND(H77&gt;6.8,H77&lt;11.3),IF(B$5=1,ROUNDDOWN(58.015*(11.26-H77)^1.81,0),ROUNDDOWN(58.015*(11.5-H77)^1.81,)),0)</f>
        <v>214</v>
      </c>
      <c r="J77" s="90">
        <v>3</v>
      </c>
      <c r="K77" s="27" t="s">
        <v>25</v>
      </c>
      <c r="L77" s="94">
        <v>6.42</v>
      </c>
      <c r="M77" s="46">
        <f>V77</f>
        <v>175</v>
      </c>
      <c r="N77" s="98">
        <v>130</v>
      </c>
      <c r="O77" s="50">
        <f>IF(AND(N77&gt;75),ROUNDDOWN(0.8465*(N77-75)^1.42,0),0)</f>
        <v>250</v>
      </c>
      <c r="P77" s="98"/>
      <c r="Q77" s="51">
        <f>IF(AND(P77&gt;210),ROUNDDOWN(0.14354*(P77-220)^1.4,0),0)</f>
        <v>0</v>
      </c>
      <c r="R77" s="102">
        <v>46</v>
      </c>
      <c r="S77" s="160">
        <f>IF(AND(R77&gt;10),ROUNDDOWN(5.33*(R77-10)^1.1,0),0)</f>
        <v>274</v>
      </c>
      <c r="U77" s="25">
        <f>J77*60+L77</f>
        <v>186.42</v>
      </c>
      <c r="V77" s="26">
        <f>IF(U77&gt;0,(INT(POWER(235-U77,1.85)*0.13279)),0)</f>
        <v>175</v>
      </c>
    </row>
    <row r="78" spans="1:23" ht="13.5" thickBot="1">
      <c r="A78" s="143"/>
      <c r="B78" s="138">
        <f>Jednotlivci!L59</f>
        <v>53</v>
      </c>
      <c r="C78" s="9" t="s">
        <v>100</v>
      </c>
      <c r="D78" s="141"/>
      <c r="E78" s="142"/>
      <c r="F78" s="53">
        <f>I78+M78+O78+Q78+S78</f>
        <v>1193</v>
      </c>
      <c r="G78" s="21">
        <f>F75</f>
        <v>3871</v>
      </c>
      <c r="H78" s="191">
        <v>8.9</v>
      </c>
      <c r="I78" s="171">
        <f>IF(AND(H78&gt;6.8,H78&lt;11.3),IF(B$5=1,ROUNDDOWN(58.015*(11.26-H78)^1.81,0),ROUNDDOWN(58.015*(11.5-H78)^1.81,)),0)</f>
        <v>274</v>
      </c>
      <c r="J78" s="91">
        <v>2</v>
      </c>
      <c r="K78" s="28" t="s">
        <v>25</v>
      </c>
      <c r="L78" s="95">
        <v>34.09</v>
      </c>
      <c r="M78" s="46">
        <f>V78</f>
        <v>449</v>
      </c>
      <c r="N78" s="98"/>
      <c r="O78" s="50">
        <f>IF(AND(N78&gt;75),ROUNDDOWN(0.8465*(N78-75)^1.42,0),0)</f>
        <v>0</v>
      </c>
      <c r="P78" s="98">
        <v>422</v>
      </c>
      <c r="Q78" s="51">
        <f>IF(AND(P78&gt;210),ROUNDDOWN(0.14354*(P78-220)^1.4,0),0)</f>
        <v>242</v>
      </c>
      <c r="R78" s="102">
        <v>40.5</v>
      </c>
      <c r="S78" s="160">
        <f>IF(AND(R78&gt;10),ROUNDDOWN(5.33*(R78-10)^1.1,0),0)</f>
        <v>228</v>
      </c>
      <c r="U78" s="25">
        <f>J78*60+L78</f>
        <v>154.09</v>
      </c>
      <c r="V78" s="26">
        <f>IF(U78&gt;0,(INT(POWER(235-U78,1.85)*0.13279)),0)</f>
        <v>449</v>
      </c>
      <c r="W78" s="174"/>
    </row>
    <row r="79" spans="1:22" ht="13.5" thickBot="1">
      <c r="A79" s="143"/>
      <c r="B79" s="138">
        <f>Jednotlivci!L60</f>
        <v>54</v>
      </c>
      <c r="C79" s="9" t="s">
        <v>99</v>
      </c>
      <c r="D79" s="141"/>
      <c r="E79" s="142"/>
      <c r="F79" s="53">
        <f>I79+M79+O79+Q79+S79</f>
        <v>987</v>
      </c>
      <c r="G79" s="21">
        <f>F75</f>
        <v>3871</v>
      </c>
      <c r="H79" s="191">
        <v>9.2</v>
      </c>
      <c r="I79" s="171">
        <f>IF(AND(H79&gt;6.8,H79&lt;11.3),IF(B$5=1,ROUNDDOWN(58.015*(11.26-H79)^1.81,0),ROUNDDOWN(58.015*(11.5-H79)^1.81,)),0)</f>
        <v>214</v>
      </c>
      <c r="J79" s="90">
        <v>2</v>
      </c>
      <c r="K79" s="27" t="s">
        <v>25</v>
      </c>
      <c r="L79" s="94">
        <v>42.77</v>
      </c>
      <c r="M79" s="46">
        <f>V79</f>
        <v>364</v>
      </c>
      <c r="N79" s="98"/>
      <c r="O79" s="50">
        <f>IF(AND(N79&gt;75),ROUNDDOWN(0.8465*(N79-75)^1.42,0),0)</f>
        <v>0</v>
      </c>
      <c r="P79" s="98">
        <v>397</v>
      </c>
      <c r="Q79" s="51">
        <f>IF(AND(P79&gt;210),ROUNDDOWN(0.14354*(P79-220)^1.4,0),0)</f>
        <v>201</v>
      </c>
      <c r="R79" s="102">
        <v>38</v>
      </c>
      <c r="S79" s="160">
        <f>IF(AND(R79&gt;10),ROUNDDOWN(5.33*(R79-10)^1.1,0),0)</f>
        <v>208</v>
      </c>
      <c r="U79" s="25">
        <f>J79*60+L79</f>
        <v>162.77</v>
      </c>
      <c r="V79" s="26">
        <f>IF(U79&gt;0,(INT(POWER(235-U79,1.85)*0.13279)),0)</f>
        <v>364</v>
      </c>
    </row>
    <row r="80" spans="1:22" ht="13.5" thickBot="1">
      <c r="A80" s="144"/>
      <c r="B80" s="145">
        <f>Jednotlivci!L61</f>
        <v>55</v>
      </c>
      <c r="C80" s="16"/>
      <c r="D80" s="14"/>
      <c r="E80" s="146"/>
      <c r="F80" s="54">
        <f>I80+M80+O80+Q80+S80</f>
        <v>0</v>
      </c>
      <c r="G80" s="22">
        <f>F75</f>
        <v>3871</v>
      </c>
      <c r="H80" s="192">
        <v>0</v>
      </c>
      <c r="I80" s="81">
        <f>IF(AND(H80&gt;6.8,H80&lt;11.3),IF(B$5=1,ROUNDDOWN(58.015*(11.26-H80)^1.81,0),ROUNDDOWN(58.015*(11.5-H80)^1.81,)),0)</f>
        <v>0</v>
      </c>
      <c r="J80" s="162">
        <v>0</v>
      </c>
      <c r="K80" s="163" t="s">
        <v>25</v>
      </c>
      <c r="L80" s="164">
        <v>0</v>
      </c>
      <c r="M80" s="82">
        <f>V80</f>
        <v>0</v>
      </c>
      <c r="N80" s="99"/>
      <c r="O80" s="83">
        <f>IF(AND(N80&gt;75),ROUNDDOWN(0.8465*(N80-75)^1.42,0),0)</f>
        <v>0</v>
      </c>
      <c r="P80" s="99">
        <v>0</v>
      </c>
      <c r="Q80" s="84">
        <f>IF(AND(P80&gt;210),ROUNDDOWN(0.14354*(P80-220)^1.4,0),0)</f>
        <v>0</v>
      </c>
      <c r="R80" s="103">
        <v>0</v>
      </c>
      <c r="S80" s="166">
        <f>IF(AND(R80&gt;10),ROUNDDOWN(5.33*(R80-10)^1.1,0),0)</f>
        <v>0</v>
      </c>
      <c r="U80" s="25">
        <f>J80*60+L80</f>
        <v>0</v>
      </c>
      <c r="V80" s="26">
        <f>IF(U80&gt;0,(INT(POWER(235-U80,1.85)*0.13279)),0)</f>
        <v>0</v>
      </c>
    </row>
    <row r="81" spans="2:8" ht="13.5" thickBot="1">
      <c r="B81" s="24"/>
      <c r="H81" s="200"/>
    </row>
    <row r="82" spans="1:22" ht="13.5" thickBot="1">
      <c r="A82" s="184">
        <f>Družstva!A18</f>
        <v>12</v>
      </c>
      <c r="B82" s="182">
        <f>$B$5</f>
        <v>1</v>
      </c>
      <c r="C82" s="185" t="s">
        <v>101</v>
      </c>
      <c r="D82" s="186"/>
      <c r="E82" s="187" t="s">
        <v>32</v>
      </c>
      <c r="F82" s="56">
        <f>SUM(F83:F87)-MIN(F83:F87)</f>
        <v>4369</v>
      </c>
      <c r="G82" s="19">
        <f>F82</f>
        <v>4369</v>
      </c>
      <c r="H82" s="194"/>
      <c r="I82" s="106"/>
      <c r="J82" s="107"/>
      <c r="K82" s="107"/>
      <c r="L82" s="108"/>
      <c r="M82" s="109"/>
      <c r="N82" s="110"/>
      <c r="O82" s="111"/>
      <c r="P82" s="110"/>
      <c r="Q82" s="111"/>
      <c r="R82" s="112"/>
      <c r="S82" s="113"/>
      <c r="U82" s="32"/>
      <c r="V82" s="33"/>
    </row>
    <row r="83" spans="1:22" ht="13.5" thickBot="1">
      <c r="A83" s="147"/>
      <c r="B83" s="188">
        <f>Jednotlivci!L62</f>
        <v>56</v>
      </c>
      <c r="C83" s="179" t="s">
        <v>102</v>
      </c>
      <c r="D83" s="149"/>
      <c r="E83" s="150"/>
      <c r="F83" s="52">
        <f>I83+M83+O83+Q83+S83</f>
        <v>1028</v>
      </c>
      <c r="G83" s="20">
        <f>F82</f>
        <v>4369</v>
      </c>
      <c r="H83" s="191">
        <v>8.8</v>
      </c>
      <c r="I83" s="42">
        <f>IF(AND(H83&gt;6.8,H83&lt;11.3),IF(B$5=1,ROUNDDOWN(58.015*(11.26-H83)^1.81,0),ROUNDDOWN(58.015*(11.5-H83)^1.81,)),0)</f>
        <v>295</v>
      </c>
      <c r="J83" s="89">
        <v>2</v>
      </c>
      <c r="K83" s="37" t="s">
        <v>25</v>
      </c>
      <c r="L83" s="93">
        <v>43.39</v>
      </c>
      <c r="M83" s="46">
        <f>V83</f>
        <v>358</v>
      </c>
      <c r="N83" s="97">
        <v>120</v>
      </c>
      <c r="O83" s="50">
        <f>IF(AND(N83&gt;75),ROUNDDOWN(0.8465*(N83-75)^1.42,0),0)</f>
        <v>188</v>
      </c>
      <c r="P83" s="97"/>
      <c r="Q83" s="51">
        <f>IF(AND(P83&gt;210),ROUNDDOWN(0.14354*(P83-220)^1.4,0),0)</f>
        <v>0</v>
      </c>
      <c r="R83" s="101">
        <v>35.5</v>
      </c>
      <c r="S83" s="49">
        <f>IF(AND(R83&gt;10),ROUNDDOWN(5.33*(R83-10)^1.1,0),0)</f>
        <v>187</v>
      </c>
      <c r="U83" s="25">
        <f>J83*60+L83</f>
        <v>163.39</v>
      </c>
      <c r="V83" s="26">
        <f>IF(U83&gt;0,(INT(POWER(235-U83,1.85)*0.13279)),0)</f>
        <v>358</v>
      </c>
    </row>
    <row r="84" spans="1:22" ht="13.5" thickBot="1">
      <c r="A84" s="143"/>
      <c r="B84" s="183">
        <f>Jednotlivci!L63</f>
        <v>57</v>
      </c>
      <c r="C84" s="180" t="s">
        <v>103</v>
      </c>
      <c r="D84" s="141"/>
      <c r="E84" s="142"/>
      <c r="F84" s="53">
        <f>I84+M84+O84+Q84+S84</f>
        <v>1297</v>
      </c>
      <c r="G84" s="21">
        <f>F82</f>
        <v>4369</v>
      </c>
      <c r="H84" s="191">
        <v>8.6</v>
      </c>
      <c r="I84" s="42">
        <f>IF(AND(H84&gt;6.8,H84&lt;11.3),IF(B$5=1,ROUNDDOWN(58.015*(11.26-H84)^1.81,0),ROUNDDOWN(58.015*(11.5-H84)^1.81,)),0)</f>
        <v>340</v>
      </c>
      <c r="J84" s="90">
        <v>2</v>
      </c>
      <c r="K84" s="27" t="s">
        <v>25</v>
      </c>
      <c r="L84" s="94">
        <v>35.64</v>
      </c>
      <c r="M84" s="46">
        <f>V84</f>
        <v>433</v>
      </c>
      <c r="N84" s="98">
        <v>135</v>
      </c>
      <c r="O84" s="50">
        <f>IF(AND(N84&gt;75),ROUNDDOWN(0.8465*(N84-75)^1.42,0),0)</f>
        <v>283</v>
      </c>
      <c r="P84" s="98"/>
      <c r="Q84" s="51">
        <f>IF(AND(P84&gt;210),ROUNDDOWN(0.14354*(P84-220)^1.4,0),0)</f>
        <v>0</v>
      </c>
      <c r="R84" s="102">
        <v>42</v>
      </c>
      <c r="S84" s="49">
        <f>IF(AND(R84&gt;10),ROUNDDOWN(5.33*(R84-10)^1.1,0),0)</f>
        <v>241</v>
      </c>
      <c r="U84" s="25">
        <f>J84*60+L84</f>
        <v>155.64</v>
      </c>
      <c r="V84" s="26">
        <f>IF(U84&gt;0,(INT(POWER(235-U84,1.85)*0.13279)),0)</f>
        <v>433</v>
      </c>
    </row>
    <row r="85" spans="1:22" ht="13.5" thickBot="1">
      <c r="A85" s="143"/>
      <c r="B85" s="183">
        <f>Jednotlivci!L64</f>
        <v>58</v>
      </c>
      <c r="C85" s="180" t="s">
        <v>104</v>
      </c>
      <c r="D85" s="141"/>
      <c r="E85" s="142"/>
      <c r="F85" s="53">
        <f>I85+M85+O85+Q85+S85</f>
        <v>1148</v>
      </c>
      <c r="G85" s="21">
        <f>F82</f>
        <v>4369</v>
      </c>
      <c r="H85" s="191">
        <v>8.9</v>
      </c>
      <c r="I85" s="42">
        <f>IF(AND(H85&gt;6.8,H85&lt;11.3),IF(B$5=1,ROUNDDOWN(58.015*(11.26-H85)^1.81,0),ROUNDDOWN(58.015*(11.5-H85)^1.81,)),0)</f>
        <v>274</v>
      </c>
      <c r="J85" s="91">
        <v>2</v>
      </c>
      <c r="K85" s="28" t="s">
        <v>25</v>
      </c>
      <c r="L85" s="95">
        <v>37.67</v>
      </c>
      <c r="M85" s="46">
        <f>V85</f>
        <v>413</v>
      </c>
      <c r="N85" s="98"/>
      <c r="O85" s="50">
        <f>IF(AND(N85&gt;75),ROUNDDOWN(0.8465*(N85-75)^1.42,0),0)</f>
        <v>0</v>
      </c>
      <c r="P85" s="98">
        <v>404</v>
      </c>
      <c r="Q85" s="51">
        <f>IF(AND(P85&gt;210),ROUNDDOWN(0.14354*(P85-220)^1.4,0),0)</f>
        <v>212</v>
      </c>
      <c r="R85" s="102">
        <v>43</v>
      </c>
      <c r="S85" s="49">
        <f>IF(AND(R85&gt;10),ROUNDDOWN(5.33*(R85-10)^1.1,0),0)</f>
        <v>249</v>
      </c>
      <c r="U85" s="25">
        <f>J85*60+L85</f>
        <v>157.67000000000002</v>
      </c>
      <c r="V85" s="26">
        <f>IF(U85&gt;0,(INT(POWER(235-U85,1.85)*0.13279)),0)</f>
        <v>413</v>
      </c>
    </row>
    <row r="86" spans="1:22" ht="13.5" thickBot="1">
      <c r="A86" s="143"/>
      <c r="B86" s="183">
        <f>Jednotlivci!L65</f>
        <v>59</v>
      </c>
      <c r="C86" s="180" t="s">
        <v>105</v>
      </c>
      <c r="D86" s="141"/>
      <c r="E86" s="142"/>
      <c r="F86" s="53">
        <f>I86+M86+O86+Q86+S86</f>
        <v>896</v>
      </c>
      <c r="G86" s="21">
        <f>F82</f>
        <v>4369</v>
      </c>
      <c r="H86" s="191">
        <v>9.1</v>
      </c>
      <c r="I86" s="42">
        <f>IF(AND(H86&gt;6.8,H86&lt;11.3),IF(B$5=1,ROUNDDOWN(58.015*(11.26-H86)^1.81,0),ROUNDDOWN(58.015*(11.5-H86)^1.81,)),0)</f>
        <v>233</v>
      </c>
      <c r="J86" s="90">
        <v>2</v>
      </c>
      <c r="K86" s="27" t="s">
        <v>25</v>
      </c>
      <c r="L86" s="94">
        <v>38.86</v>
      </c>
      <c r="M86" s="46">
        <f>V86</f>
        <v>401</v>
      </c>
      <c r="N86" s="98"/>
      <c r="O86" s="50">
        <f>IF(AND(N86&gt;75),ROUNDDOWN(0.8465*(N86-75)^1.42,0),0)</f>
        <v>0</v>
      </c>
      <c r="P86" s="98">
        <v>348</v>
      </c>
      <c r="Q86" s="51">
        <f>IF(AND(P86&gt;210),ROUNDDOWN(0.14354*(P86-220)^1.4,0),0)</f>
        <v>127</v>
      </c>
      <c r="R86" s="102">
        <v>29</v>
      </c>
      <c r="S86" s="49">
        <f>IF(AND(R86&gt;10),ROUNDDOWN(5.33*(R86-10)^1.1,0),0)</f>
        <v>135</v>
      </c>
      <c r="U86" s="25">
        <f>J86*60+L86</f>
        <v>158.86</v>
      </c>
      <c r="V86" s="26">
        <f>IF(U86&gt;0,(INT(POWER(235-U86,1.85)*0.13279)),0)</f>
        <v>401</v>
      </c>
    </row>
    <row r="87" spans="1:22" ht="13.5" thickBot="1">
      <c r="A87" s="144"/>
      <c r="B87" s="189">
        <f>Jednotlivci!L66</f>
        <v>60</v>
      </c>
      <c r="C87" s="181" t="s">
        <v>106</v>
      </c>
      <c r="D87" s="14"/>
      <c r="E87" s="146"/>
      <c r="F87" s="54">
        <f>I87+M87+O87+Q87+S87</f>
        <v>572</v>
      </c>
      <c r="G87" s="22">
        <f>F82</f>
        <v>4369</v>
      </c>
      <c r="H87" s="192">
        <v>9.7</v>
      </c>
      <c r="I87" s="81">
        <f>IF(AND(H87&gt;6.8,H87&lt;11.3),IF(B$5=1,ROUNDDOWN(58.015*(11.26-H87)^1.81,0),ROUNDDOWN(58.015*(11.5-H87)^1.81,)),0)</f>
        <v>129</v>
      </c>
      <c r="J87" s="92">
        <v>3</v>
      </c>
      <c r="K87" s="38" t="s">
        <v>25</v>
      </c>
      <c r="L87" s="96">
        <v>4.23</v>
      </c>
      <c r="M87" s="82">
        <f>V87</f>
        <v>189</v>
      </c>
      <c r="N87" s="99"/>
      <c r="O87" s="83">
        <f>IF(AND(N87&gt;75),ROUNDDOWN(0.8465*(N87-75)^1.42,0),0)</f>
        <v>0</v>
      </c>
      <c r="P87" s="99">
        <v>298</v>
      </c>
      <c r="Q87" s="84">
        <f>IF(AND(P87&gt;210),ROUNDDOWN(0.14354*(P87-220)^1.4,0),0)</f>
        <v>63</v>
      </c>
      <c r="R87" s="103">
        <v>36</v>
      </c>
      <c r="S87" s="85">
        <f>IF(AND(R87&gt;10),ROUNDDOWN(5.33*(R87-10)^1.1,0),0)</f>
        <v>191</v>
      </c>
      <c r="U87" s="25">
        <f>J87*60+L87</f>
        <v>184.23</v>
      </c>
      <c r="V87" s="26">
        <f>IF(U87&gt;0,(INT(POWER(235-U87,1.85)*0.13279)),0)</f>
        <v>189</v>
      </c>
    </row>
    <row r="88" ht="13.5" thickBot="1">
      <c r="H88" s="200"/>
    </row>
    <row r="89" spans="1:22" ht="13.5" thickBot="1">
      <c r="A89" s="184">
        <f>Družstva!A19</f>
        <v>13</v>
      </c>
      <c r="B89" s="182">
        <f>$B$5</f>
        <v>1</v>
      </c>
      <c r="C89" s="185" t="s">
        <v>107</v>
      </c>
      <c r="D89" s="186"/>
      <c r="E89" s="187" t="s">
        <v>32</v>
      </c>
      <c r="F89" s="56">
        <f>SUM(F90:F94)-MIN(F90:F94)</f>
        <v>3393</v>
      </c>
      <c r="G89" s="19">
        <f>F89</f>
        <v>3393</v>
      </c>
      <c r="H89" s="194"/>
      <c r="I89" s="106"/>
      <c r="J89" s="107"/>
      <c r="K89" s="107"/>
      <c r="L89" s="108"/>
      <c r="M89" s="109"/>
      <c r="N89" s="110"/>
      <c r="O89" s="111"/>
      <c r="P89" s="110"/>
      <c r="Q89" s="111"/>
      <c r="R89" s="112"/>
      <c r="S89" s="113"/>
      <c r="U89" s="32"/>
      <c r="V89" s="33"/>
    </row>
    <row r="90" spans="1:22" ht="13.5" thickBot="1">
      <c r="A90" s="147"/>
      <c r="B90" s="188">
        <f>Jednotlivci!L67</f>
        <v>61</v>
      </c>
      <c r="C90" s="179" t="s">
        <v>110</v>
      </c>
      <c r="D90" s="149"/>
      <c r="E90" s="150"/>
      <c r="F90" s="52">
        <f>I90+M90+O90+Q90+S90</f>
        <v>816</v>
      </c>
      <c r="G90" s="20">
        <f>F89</f>
        <v>3393</v>
      </c>
      <c r="H90" s="190">
        <v>9.5</v>
      </c>
      <c r="I90" s="167">
        <f>IF(AND(H90&gt;6.8,H90&lt;11.3),IF(B$5=1,ROUNDDOWN(58.015*(11.26-H90)^1.81,0),ROUNDDOWN(58.015*(11.5-H90)^1.81,)),0)</f>
        <v>161</v>
      </c>
      <c r="J90" s="154">
        <v>2</v>
      </c>
      <c r="K90" s="155" t="s">
        <v>25</v>
      </c>
      <c r="L90" s="156">
        <v>59.09</v>
      </c>
      <c r="M90" s="168">
        <f>V90</f>
        <v>226</v>
      </c>
      <c r="N90" s="100">
        <v>120</v>
      </c>
      <c r="O90" s="169">
        <f>IF(AND(N90&gt;75),ROUNDDOWN(0.8465*(N90-75)^1.42,0),0)</f>
        <v>188</v>
      </c>
      <c r="P90" s="100">
        <v>0</v>
      </c>
      <c r="Q90" s="173">
        <f>IF(AND(P90&gt;210),ROUNDDOWN(0.14354*(P90-220)^1.4,0),0)</f>
        <v>0</v>
      </c>
      <c r="R90" s="104">
        <v>42</v>
      </c>
      <c r="S90" s="158">
        <f>IF(AND(R90&gt;10),ROUNDDOWN(5.33*(R90-10)^1.1,0),0)</f>
        <v>241</v>
      </c>
      <c r="U90" s="25">
        <f>J90*60+L90</f>
        <v>179.09</v>
      </c>
      <c r="V90" s="26">
        <f>IF(U90&gt;0,(INT(POWER(235-U90,1.85)*0.13279)),0)</f>
        <v>226</v>
      </c>
    </row>
    <row r="91" spans="1:22" ht="13.5" thickBot="1">
      <c r="A91" s="143"/>
      <c r="B91" s="183">
        <f>Jednotlivci!L68</f>
        <v>62</v>
      </c>
      <c r="C91" s="180" t="s">
        <v>109</v>
      </c>
      <c r="D91" s="141"/>
      <c r="E91" s="142"/>
      <c r="F91" s="53">
        <f>I91+M91+O91+Q91+S91</f>
        <v>842</v>
      </c>
      <c r="G91" s="21">
        <f>F89</f>
        <v>3393</v>
      </c>
      <c r="H91" s="191">
        <v>9.8</v>
      </c>
      <c r="I91" s="171">
        <f>IF(AND(H91&gt;6.8,H91&lt;11.3),IF(B$5=1,ROUNDDOWN(58.015*(11.26-H91)^1.81,0),ROUNDDOWN(58.015*(11.5-H91)^1.81,)),0)</f>
        <v>115</v>
      </c>
      <c r="J91" s="90">
        <v>3</v>
      </c>
      <c r="K91" s="27" t="s">
        <v>25</v>
      </c>
      <c r="L91" s="94">
        <v>1.73</v>
      </c>
      <c r="M91" s="46">
        <f>V91</f>
        <v>207</v>
      </c>
      <c r="N91" s="98">
        <v>130</v>
      </c>
      <c r="O91" s="50">
        <f>IF(AND(N91&gt;75),ROUNDDOWN(0.8465*(N91-75)^1.42,0),0)</f>
        <v>250</v>
      </c>
      <c r="P91" s="98">
        <v>0</v>
      </c>
      <c r="Q91" s="51">
        <f>IF(AND(P91&gt;210),ROUNDDOWN(0.14354*(P91-220)^1.4,0),0)</f>
        <v>0</v>
      </c>
      <c r="R91" s="102">
        <v>45.5</v>
      </c>
      <c r="S91" s="160">
        <f>IF(AND(R91&gt;10),ROUNDDOWN(5.33*(R91-10)^1.1,0),0)</f>
        <v>270</v>
      </c>
      <c r="U91" s="25">
        <f>J91*60+L91</f>
        <v>181.73</v>
      </c>
      <c r="V91" s="26">
        <f>IF(U91&gt;0,(INT(POWER(235-U91,1.85)*0.13279)),0)</f>
        <v>207</v>
      </c>
    </row>
    <row r="92" spans="1:23" ht="13.5" thickBot="1">
      <c r="A92" s="143"/>
      <c r="B92" s="183">
        <f>Jednotlivci!L69</f>
        <v>63</v>
      </c>
      <c r="C92" s="180" t="s">
        <v>108</v>
      </c>
      <c r="D92" s="141"/>
      <c r="E92" s="142"/>
      <c r="F92" s="53">
        <f>I92+M92+O92+Q92+S92</f>
        <v>694</v>
      </c>
      <c r="G92" s="21">
        <f>F89</f>
        <v>3393</v>
      </c>
      <c r="H92" s="191">
        <v>9.1</v>
      </c>
      <c r="I92" s="171">
        <f>IF(AND(H92&gt;6.8,H92&lt;11.3),IF(B$5=1,ROUNDDOWN(58.015*(11.26-H92)^1.81,0),ROUNDDOWN(58.015*(11.5-H92)^1.81,)),0)</f>
        <v>233</v>
      </c>
      <c r="J92" s="91">
        <v>3</v>
      </c>
      <c r="K92" s="28" t="s">
        <v>25</v>
      </c>
      <c r="L92" s="95">
        <v>9.06</v>
      </c>
      <c r="M92" s="46">
        <f>V92</f>
        <v>157</v>
      </c>
      <c r="N92" s="98">
        <v>0</v>
      </c>
      <c r="O92" s="50">
        <f>IF(AND(N92&gt;75),ROUNDDOWN(0.8465*(N92-75)^1.42,0),0)</f>
        <v>0</v>
      </c>
      <c r="P92" s="98">
        <v>386</v>
      </c>
      <c r="Q92" s="51">
        <f>IF(AND(P92&gt;210),ROUNDDOWN(0.14354*(P92-220)^1.4,0),0)</f>
        <v>184</v>
      </c>
      <c r="R92" s="102">
        <v>27</v>
      </c>
      <c r="S92" s="160">
        <f>IF(AND(R92&gt;10),ROUNDDOWN(5.33*(R92-10)^1.1,0),0)</f>
        <v>120</v>
      </c>
      <c r="U92" s="25">
        <f>J92*60+L92</f>
        <v>189.06</v>
      </c>
      <c r="V92" s="26">
        <f>IF(U92&gt;0,(INT(POWER(235-U92,1.85)*0.13279)),0)</f>
        <v>157</v>
      </c>
      <c r="W92" s="174"/>
    </row>
    <row r="93" spans="1:22" ht="13.5" thickBot="1">
      <c r="A93" s="143"/>
      <c r="B93" s="183">
        <f>Jednotlivci!L70</f>
        <v>64</v>
      </c>
      <c r="C93" s="180" t="s">
        <v>111</v>
      </c>
      <c r="D93" s="141"/>
      <c r="E93" s="142"/>
      <c r="F93" s="53">
        <f>I93+M93+O93+Q93+S93</f>
        <v>1041</v>
      </c>
      <c r="G93" s="21">
        <f>F89</f>
        <v>3393</v>
      </c>
      <c r="H93" s="191">
        <v>8.4</v>
      </c>
      <c r="I93" s="171">
        <f>IF(AND(H93&gt;6.8,H93&lt;11.3),IF(B$5=1,ROUNDDOWN(58.015*(11.26-H93)^1.81,0),ROUNDDOWN(58.015*(11.5-H93)^1.81,)),0)</f>
        <v>388</v>
      </c>
      <c r="J93" s="90">
        <v>2</v>
      </c>
      <c r="K93" s="27" t="s">
        <v>25</v>
      </c>
      <c r="L93" s="94">
        <v>47.57</v>
      </c>
      <c r="M93" s="46">
        <f>V93</f>
        <v>321</v>
      </c>
      <c r="N93" s="98"/>
      <c r="O93" s="50">
        <f>IF(AND(N93&gt;75),ROUNDDOWN(0.8465*(N93-75)^1.42,0),0)</f>
        <v>0</v>
      </c>
      <c r="P93" s="98">
        <v>363</v>
      </c>
      <c r="Q93" s="51">
        <f>IF(AND(P93&gt;210),ROUNDDOWN(0.14354*(P93-220)^1.4,0),0)</f>
        <v>149</v>
      </c>
      <c r="R93" s="102">
        <v>35</v>
      </c>
      <c r="S93" s="160">
        <f>IF(AND(R93&gt;10),ROUNDDOWN(5.33*(R93-10)^1.1,0),0)</f>
        <v>183</v>
      </c>
      <c r="U93" s="25">
        <f>J93*60+L93</f>
        <v>167.57</v>
      </c>
      <c r="V93" s="26">
        <f>IF(U93&gt;0,(INT(POWER(235-U93,1.85)*0.13279)),0)</f>
        <v>321</v>
      </c>
    </row>
    <row r="94" spans="1:22" ht="13.5" thickBot="1">
      <c r="A94" s="144"/>
      <c r="B94" s="189" t="str">
        <f>Jednotlivci!L71</f>
        <v>NEV</v>
      </c>
      <c r="C94" s="181" t="s">
        <v>112</v>
      </c>
      <c r="D94" s="14"/>
      <c r="E94" s="146"/>
      <c r="F94" s="54">
        <f>I94+M94+O94+Q94+S94</f>
        <v>548</v>
      </c>
      <c r="G94" s="22">
        <f>F89</f>
        <v>3393</v>
      </c>
      <c r="H94" s="192">
        <v>9.8</v>
      </c>
      <c r="I94" s="81">
        <f>IF(AND(H94&gt;6.8,H94&lt;11.3),IF(B$5=1,ROUNDDOWN(58.015*(11.26-H94)^1.81,0),ROUNDDOWN(58.015*(11.5-H94)^1.81,)),0)</f>
        <v>115</v>
      </c>
      <c r="J94" s="162">
        <v>2</v>
      </c>
      <c r="K94" s="163" t="s">
        <v>25</v>
      </c>
      <c r="L94" s="164">
        <v>58.11</v>
      </c>
      <c r="M94" s="82">
        <f>V94</f>
        <v>234</v>
      </c>
      <c r="N94" s="99"/>
      <c r="O94" s="83">
        <f>IF(AND(N94&gt;75),ROUNDDOWN(0.8465*(N94-75)^1.42,0),0)</f>
        <v>0</v>
      </c>
      <c r="P94" s="99">
        <v>311</v>
      </c>
      <c r="Q94" s="84">
        <f>IF(AND(P94&gt;210),ROUNDDOWN(0.14354*(P94-220)^1.4,0),0)</f>
        <v>79</v>
      </c>
      <c r="R94" s="103">
        <v>27</v>
      </c>
      <c r="S94" s="166">
        <f>IF(AND(R94&gt;10),ROUNDDOWN(5.33*(R94-10)^1.1,0),0)</f>
        <v>120</v>
      </c>
      <c r="U94" s="25">
        <f>J94*60+L94</f>
        <v>178.11</v>
      </c>
      <c r="V94" s="26">
        <f>IF(U94&gt;0,(INT(POWER(235-U94,1.85)*0.13279)),0)</f>
        <v>234</v>
      </c>
    </row>
    <row r="95" spans="2:8" ht="13.5" thickBot="1">
      <c r="B95" s="24"/>
      <c r="H95" s="200"/>
    </row>
    <row r="96" spans="1:22" ht="13.5" thickBot="1">
      <c r="A96" s="184">
        <f>Družstva!A20</f>
        <v>14</v>
      </c>
      <c r="B96" s="182">
        <f>$B$5</f>
        <v>1</v>
      </c>
      <c r="C96" s="185" t="s">
        <v>122</v>
      </c>
      <c r="D96" s="186"/>
      <c r="E96" s="187" t="s">
        <v>32</v>
      </c>
      <c r="F96" s="56">
        <f>SUM(F97:F101)-MIN(F97:F101)</f>
        <v>0</v>
      </c>
      <c r="G96" s="19">
        <f>F96</f>
        <v>0</v>
      </c>
      <c r="H96" s="194"/>
      <c r="I96" s="106"/>
      <c r="J96" s="107"/>
      <c r="K96" s="107"/>
      <c r="L96" s="108"/>
      <c r="M96" s="109"/>
      <c r="N96" s="110"/>
      <c r="O96" s="111"/>
      <c r="P96" s="110"/>
      <c r="Q96" s="111"/>
      <c r="R96" s="112"/>
      <c r="S96" s="113"/>
      <c r="U96" s="32"/>
      <c r="V96" s="33"/>
    </row>
    <row r="97" spans="1:22" ht="13.5" thickBot="1">
      <c r="A97" s="147"/>
      <c r="B97" s="188" t="str">
        <f>Jednotlivci!L72</f>
        <v>NEV</v>
      </c>
      <c r="C97" s="179" t="s">
        <v>38</v>
      </c>
      <c r="D97" s="149"/>
      <c r="E97" s="150"/>
      <c r="F97" s="52">
        <f>I97+M97+O97+Q97+S97</f>
        <v>0</v>
      </c>
      <c r="G97" s="20">
        <f>F96</f>
        <v>0</v>
      </c>
      <c r="H97" s="191">
        <v>0</v>
      </c>
      <c r="I97" s="42">
        <f>IF(AND(H97&gt;6.8,H97&lt;11.3),IF(B$5=1,ROUNDDOWN(58.015*(11.26-H97)^1.81,0),ROUNDDOWN(58.015*(11.5-H97)^1.81,)),0)</f>
        <v>0</v>
      </c>
      <c r="J97" s="89">
        <v>0</v>
      </c>
      <c r="K97" s="37" t="s">
        <v>25</v>
      </c>
      <c r="L97" s="93">
        <v>0</v>
      </c>
      <c r="M97" s="46">
        <f>V97</f>
        <v>0</v>
      </c>
      <c r="N97" s="97">
        <v>0</v>
      </c>
      <c r="O97" s="50">
        <f>IF(AND(N97&gt;75),ROUNDDOWN(0.8465*(N97-75)^1.42,0),0)</f>
        <v>0</v>
      </c>
      <c r="P97" s="97">
        <v>0</v>
      </c>
      <c r="Q97" s="51">
        <f>IF(AND(P97&gt;210),ROUNDDOWN(0.14354*(P97-220)^1.4,0),0)</f>
        <v>0</v>
      </c>
      <c r="R97" s="101">
        <v>0</v>
      </c>
      <c r="S97" s="49">
        <f>IF(AND(R97&gt;10),ROUNDDOWN(5.33*(R97-10)^1.1,0),0)</f>
        <v>0</v>
      </c>
      <c r="U97" s="25">
        <f>J97*60+L97</f>
        <v>0</v>
      </c>
      <c r="V97" s="26">
        <f>IF(U97&gt;0,(INT(POWER(235-U97,1.85)*0.13279)),0)</f>
        <v>0</v>
      </c>
    </row>
    <row r="98" spans="1:22" ht="13.5" thickBot="1">
      <c r="A98" s="143"/>
      <c r="B98" s="183" t="str">
        <f>Jednotlivci!L73</f>
        <v>NEV</v>
      </c>
      <c r="C98" s="180" t="s">
        <v>39</v>
      </c>
      <c r="D98" s="141"/>
      <c r="E98" s="142"/>
      <c r="F98" s="53">
        <f>I98+M98+O98+Q98+S98</f>
        <v>0</v>
      </c>
      <c r="G98" s="21">
        <f>F96</f>
        <v>0</v>
      </c>
      <c r="H98" s="191">
        <v>0</v>
      </c>
      <c r="I98" s="42">
        <f>IF(AND(H98&gt;6.8,H98&lt;11.3),IF(B$5=1,ROUNDDOWN(58.015*(11.26-H98)^1.81,0),ROUNDDOWN(58.015*(11.5-H98)^1.81,)),0)</f>
        <v>0</v>
      </c>
      <c r="J98" s="90">
        <v>0</v>
      </c>
      <c r="K98" s="27" t="s">
        <v>25</v>
      </c>
      <c r="L98" s="94">
        <v>0</v>
      </c>
      <c r="M98" s="46">
        <f>V98</f>
        <v>0</v>
      </c>
      <c r="N98" s="98">
        <v>0</v>
      </c>
      <c r="O98" s="50">
        <f>IF(AND(N98&gt;75),ROUNDDOWN(0.8465*(N98-75)^1.42,0),0)</f>
        <v>0</v>
      </c>
      <c r="P98" s="98">
        <v>0</v>
      </c>
      <c r="Q98" s="51">
        <f>IF(AND(P98&gt;210),ROUNDDOWN(0.14354*(P98-220)^1.4,0),0)</f>
        <v>0</v>
      </c>
      <c r="R98" s="102">
        <v>0</v>
      </c>
      <c r="S98" s="49">
        <f>IF(AND(R98&gt;10),ROUNDDOWN(5.33*(R98-10)^1.1,0),0)</f>
        <v>0</v>
      </c>
      <c r="U98" s="25">
        <f>J98*60+L98</f>
        <v>0</v>
      </c>
      <c r="V98" s="26">
        <f>IF(U98&gt;0,(INT(POWER(235-U98,1.85)*0.13279)),0)</f>
        <v>0</v>
      </c>
    </row>
    <row r="99" spans="1:22" ht="13.5" thickBot="1">
      <c r="A99" s="143"/>
      <c r="B99" s="183" t="str">
        <f>Jednotlivci!L74</f>
        <v>NEV</v>
      </c>
      <c r="C99" s="180" t="s">
        <v>40</v>
      </c>
      <c r="D99" s="141"/>
      <c r="E99" s="142"/>
      <c r="F99" s="53">
        <f>I99+M99+O99+Q99+S99</f>
        <v>0</v>
      </c>
      <c r="G99" s="21">
        <f>F96</f>
        <v>0</v>
      </c>
      <c r="H99" s="191">
        <v>0</v>
      </c>
      <c r="I99" s="42">
        <f>IF(AND(H99&gt;6.8,H99&lt;11.3),IF(B$5=1,ROUNDDOWN(58.015*(11.26-H99)^1.81,0),ROUNDDOWN(58.015*(11.5-H99)^1.81,)),0)</f>
        <v>0</v>
      </c>
      <c r="J99" s="91">
        <v>0</v>
      </c>
      <c r="K99" s="28" t="s">
        <v>25</v>
      </c>
      <c r="L99" s="95">
        <v>0</v>
      </c>
      <c r="M99" s="46">
        <f>V99</f>
        <v>0</v>
      </c>
      <c r="N99" s="98"/>
      <c r="O99" s="50">
        <f>IF(AND(N99&gt;75),ROUNDDOWN(0.8465*(N99-75)^1.42,0),0)</f>
        <v>0</v>
      </c>
      <c r="P99" s="98">
        <v>0</v>
      </c>
      <c r="Q99" s="51">
        <f>IF(AND(P99&gt;210),ROUNDDOWN(0.14354*(P99-220)^1.4,0),0)</f>
        <v>0</v>
      </c>
      <c r="R99" s="102">
        <v>0</v>
      </c>
      <c r="S99" s="49">
        <f>IF(AND(R99&gt;10),ROUNDDOWN(5.33*(R99-10)^1.1,0),0)</f>
        <v>0</v>
      </c>
      <c r="U99" s="25">
        <f>J99*60+L99</f>
        <v>0</v>
      </c>
      <c r="V99" s="26">
        <f>IF(U99&gt;0,(INT(POWER(235-U99,1.85)*0.13279)),0)</f>
        <v>0</v>
      </c>
    </row>
    <row r="100" spans="1:22" ht="13.5" thickBot="1">
      <c r="A100" s="143"/>
      <c r="B100" s="183" t="str">
        <f>Jednotlivci!L75</f>
        <v>NEV</v>
      </c>
      <c r="C100" s="180" t="s">
        <v>41</v>
      </c>
      <c r="D100" s="141"/>
      <c r="E100" s="142"/>
      <c r="F100" s="53">
        <f>I100+M100+O100+Q100+S100</f>
        <v>0</v>
      </c>
      <c r="G100" s="21">
        <f>F96</f>
        <v>0</v>
      </c>
      <c r="H100" s="191">
        <v>0</v>
      </c>
      <c r="I100" s="42">
        <f>IF(AND(H100&gt;6.8,H100&lt;11.3),IF(B$5=1,ROUNDDOWN(58.015*(11.26-H100)^1.81,0),ROUNDDOWN(58.015*(11.5-H100)^1.81,)),0)</f>
        <v>0</v>
      </c>
      <c r="J100" s="90">
        <v>0</v>
      </c>
      <c r="K100" s="27" t="s">
        <v>25</v>
      </c>
      <c r="L100" s="94">
        <v>0</v>
      </c>
      <c r="M100" s="46">
        <f>V100</f>
        <v>0</v>
      </c>
      <c r="N100" s="98"/>
      <c r="O100" s="50">
        <f>IF(AND(N100&gt;75),ROUNDDOWN(0.8465*(N100-75)^1.42,0),0)</f>
        <v>0</v>
      </c>
      <c r="P100" s="98">
        <v>0</v>
      </c>
      <c r="Q100" s="51">
        <f>IF(AND(P100&gt;210),ROUNDDOWN(0.14354*(P100-220)^1.4,0),0)</f>
        <v>0</v>
      </c>
      <c r="R100" s="102">
        <v>0</v>
      </c>
      <c r="S100" s="49">
        <f>IF(AND(R100&gt;10),ROUNDDOWN(5.33*(R100-10)^1.1,0),0)</f>
        <v>0</v>
      </c>
      <c r="U100" s="25">
        <f>J100*60+L100</f>
        <v>0</v>
      </c>
      <c r="V100" s="26">
        <f>IF(U100&gt;0,(INT(POWER(235-U100,1.85)*0.13279)),0)</f>
        <v>0</v>
      </c>
    </row>
    <row r="101" spans="1:22" ht="13.5" thickBot="1">
      <c r="A101" s="144"/>
      <c r="B101" s="189" t="str">
        <f>Jednotlivci!L76</f>
        <v>NEV</v>
      </c>
      <c r="C101" s="181" t="s">
        <v>42</v>
      </c>
      <c r="D101" s="14"/>
      <c r="E101" s="146"/>
      <c r="F101" s="54">
        <f>I101+M101+O101+Q101+S101</f>
        <v>0</v>
      </c>
      <c r="G101" s="22">
        <f>F96</f>
        <v>0</v>
      </c>
      <c r="H101" s="192">
        <v>0</v>
      </c>
      <c r="I101" s="81">
        <f>IF(AND(H101&gt;6.8,H101&lt;11.3),IF(B$5=1,ROUNDDOWN(58.015*(11.26-H101)^1.81,0),ROUNDDOWN(58.015*(11.5-H101)^1.81,)),0)</f>
        <v>0</v>
      </c>
      <c r="J101" s="92">
        <v>0</v>
      </c>
      <c r="K101" s="38" t="s">
        <v>25</v>
      </c>
      <c r="L101" s="96">
        <v>0</v>
      </c>
      <c r="M101" s="82">
        <f>V101</f>
        <v>0</v>
      </c>
      <c r="N101" s="99"/>
      <c r="O101" s="83">
        <f>IF(AND(N101&gt;75),ROUNDDOWN(0.8465*(N101-75)^1.42,0),0)</f>
        <v>0</v>
      </c>
      <c r="P101" s="99">
        <v>0</v>
      </c>
      <c r="Q101" s="84">
        <f>IF(AND(P101&gt;210),ROUNDDOWN(0.14354*(P101-220)^1.4,0),0)</f>
        <v>0</v>
      </c>
      <c r="R101" s="103">
        <v>0</v>
      </c>
      <c r="S101" s="85">
        <f>IF(AND(R101&gt;10),ROUNDDOWN(5.33*(R101-10)^1.1,0),0)</f>
        <v>0</v>
      </c>
      <c r="U101" s="25">
        <f>J101*60+L101</f>
        <v>0</v>
      </c>
      <c r="V101" s="26">
        <f>IF(U101&gt;0,(INT(POWER(235-U101,1.85)*0.13279)),0)</f>
        <v>0</v>
      </c>
    </row>
    <row r="102" ht="13.5" thickBot="1">
      <c r="H102" s="200"/>
    </row>
    <row r="103" spans="1:22" ht="13.5" thickBot="1">
      <c r="A103" s="184">
        <f>Družstva!A21</f>
        <v>14</v>
      </c>
      <c r="B103" s="182">
        <f>$B$5</f>
        <v>1</v>
      </c>
      <c r="C103" s="185" t="s">
        <v>122</v>
      </c>
      <c r="D103" s="186"/>
      <c r="E103" s="187" t="s">
        <v>32</v>
      </c>
      <c r="F103" s="56">
        <f>SUM(F104:F108)-MIN(F104:F108)</f>
        <v>0</v>
      </c>
      <c r="G103" s="19">
        <f>F103</f>
        <v>0</v>
      </c>
      <c r="H103" s="194"/>
      <c r="I103" s="106"/>
      <c r="J103" s="107"/>
      <c r="K103" s="107"/>
      <c r="L103" s="108"/>
      <c r="M103" s="109"/>
      <c r="N103" s="110"/>
      <c r="O103" s="111"/>
      <c r="P103" s="110"/>
      <c r="Q103" s="111"/>
      <c r="R103" s="112"/>
      <c r="S103" s="113"/>
      <c r="U103" s="32"/>
      <c r="V103" s="33"/>
    </row>
    <row r="104" spans="1:22" ht="13.5" thickBot="1">
      <c r="A104" s="147"/>
      <c r="B104" s="188" t="str">
        <f>Jednotlivci!L77</f>
        <v>NEV</v>
      </c>
      <c r="C104" s="179" t="s">
        <v>43</v>
      </c>
      <c r="D104" s="149"/>
      <c r="E104" s="150"/>
      <c r="F104" s="52">
        <f>I104+M104+O104+Q104+S104</f>
        <v>0</v>
      </c>
      <c r="G104" s="20">
        <f>F103</f>
        <v>0</v>
      </c>
      <c r="H104" s="191">
        <v>0</v>
      </c>
      <c r="I104" s="42">
        <f>IF(AND(H104&gt;6.8,H104&lt;11.3),IF(B$5=1,ROUNDDOWN(58.015*(11.26-H104)^1.81,0),ROUNDDOWN(58.015*(11.5-H104)^1.81,)),0)</f>
        <v>0</v>
      </c>
      <c r="J104" s="89"/>
      <c r="K104" s="37" t="s">
        <v>25</v>
      </c>
      <c r="L104" s="93">
        <v>0</v>
      </c>
      <c r="M104" s="46">
        <f>V104</f>
        <v>0</v>
      </c>
      <c r="N104" s="97">
        <v>0</v>
      </c>
      <c r="O104" s="50">
        <f>IF(AND(N104&gt;75),ROUNDDOWN(0.8465*(N104-75)^1.42,0),0)</f>
        <v>0</v>
      </c>
      <c r="P104" s="97"/>
      <c r="Q104" s="51">
        <f>IF(AND(P104&gt;210),ROUNDDOWN(0.14354*(P104-220)^1.4,0),0)</f>
        <v>0</v>
      </c>
      <c r="R104" s="101">
        <v>0</v>
      </c>
      <c r="S104" s="49">
        <f>IF(AND(R104&gt;10),ROUNDDOWN(5.33*(R104-10)^1.1,0),0)</f>
        <v>0</v>
      </c>
      <c r="U104" s="25">
        <f>J104*60+L104</f>
        <v>0</v>
      </c>
      <c r="V104" s="26">
        <f>IF(U104&gt;0,(INT(POWER(235-U104,1.85)*0.13279)),0)</f>
        <v>0</v>
      </c>
    </row>
    <row r="105" spans="1:22" ht="13.5" thickBot="1">
      <c r="A105" s="143"/>
      <c r="B105" s="183" t="str">
        <f>Jednotlivci!L78</f>
        <v>NEV</v>
      </c>
      <c r="C105" s="180" t="s">
        <v>44</v>
      </c>
      <c r="D105" s="141"/>
      <c r="E105" s="142"/>
      <c r="F105" s="53">
        <f>I105+M105+O105+Q105+S105</f>
        <v>0</v>
      </c>
      <c r="G105" s="21">
        <f>F103</f>
        <v>0</v>
      </c>
      <c r="H105" s="191">
        <v>0</v>
      </c>
      <c r="I105" s="42">
        <f>IF(AND(H105&gt;6.8,H105&lt;11.3),IF(B$5=1,ROUNDDOWN(58.015*(11.26-H105)^1.81,0),ROUNDDOWN(58.015*(11.5-H105)^1.81,)),0)</f>
        <v>0</v>
      </c>
      <c r="J105" s="90"/>
      <c r="K105" s="27" t="s">
        <v>25</v>
      </c>
      <c r="L105" s="94">
        <v>0</v>
      </c>
      <c r="M105" s="46">
        <f>V105</f>
        <v>0</v>
      </c>
      <c r="N105" s="98">
        <v>0</v>
      </c>
      <c r="O105" s="50">
        <f>IF(AND(N105&gt;75),ROUNDDOWN(0.8465*(N105-75)^1.42,0),0)</f>
        <v>0</v>
      </c>
      <c r="P105" s="98"/>
      <c r="Q105" s="51">
        <f>IF(AND(P105&gt;210),ROUNDDOWN(0.14354*(P105-220)^1.4,0),0)</f>
        <v>0</v>
      </c>
      <c r="R105" s="102">
        <v>0</v>
      </c>
      <c r="S105" s="49">
        <f>IF(AND(R105&gt;10),ROUNDDOWN(5.33*(R105-10)^1.1,0),0)</f>
        <v>0</v>
      </c>
      <c r="U105" s="25">
        <f>J105*60+L105</f>
        <v>0</v>
      </c>
      <c r="V105" s="26">
        <f>IF(U105&gt;0,(INT(POWER(235-U105,1.85)*0.13279)),0)</f>
        <v>0</v>
      </c>
    </row>
    <row r="106" spans="1:22" ht="13.5" thickBot="1">
      <c r="A106" s="143"/>
      <c r="B106" s="183" t="str">
        <f>Jednotlivci!L79</f>
        <v>NEV</v>
      </c>
      <c r="C106" s="180" t="s">
        <v>45</v>
      </c>
      <c r="D106" s="141"/>
      <c r="E106" s="142"/>
      <c r="F106" s="53">
        <f>I106+M106+O106+Q106+S106</f>
        <v>0</v>
      </c>
      <c r="G106" s="21">
        <f>F103</f>
        <v>0</v>
      </c>
      <c r="H106" s="191">
        <v>0</v>
      </c>
      <c r="I106" s="42">
        <f>IF(AND(H106&gt;6.8,H106&lt;11.3),IF(B$5=1,ROUNDDOWN(58.015*(11.26-H106)^1.81,0),ROUNDDOWN(58.015*(11.5-H106)^1.81,)),0)</f>
        <v>0</v>
      </c>
      <c r="J106" s="91"/>
      <c r="K106" s="28" t="s">
        <v>25</v>
      </c>
      <c r="L106" s="95">
        <v>0</v>
      </c>
      <c r="M106" s="46">
        <f>V106</f>
        <v>0</v>
      </c>
      <c r="N106" s="98"/>
      <c r="O106" s="50">
        <f>IF(AND(N106&gt;75),ROUNDDOWN(0.8465*(N106-75)^1.42,0),0)</f>
        <v>0</v>
      </c>
      <c r="P106" s="98">
        <v>0</v>
      </c>
      <c r="Q106" s="51">
        <f>IF(AND(P106&gt;210),ROUNDDOWN(0.14354*(P106-220)^1.4,0),0)</f>
        <v>0</v>
      </c>
      <c r="R106" s="102">
        <v>0</v>
      </c>
      <c r="S106" s="49">
        <f>IF(AND(R106&gt;10),ROUNDDOWN(5.33*(R106-10)^1.1,0),0)</f>
        <v>0</v>
      </c>
      <c r="U106" s="25">
        <f>J106*60+L106</f>
        <v>0</v>
      </c>
      <c r="V106" s="26">
        <f>IF(U106&gt;0,(INT(POWER(235-U106,1.85)*0.13279)),0)</f>
        <v>0</v>
      </c>
    </row>
    <row r="107" spans="1:22" ht="13.5" thickBot="1">
      <c r="A107" s="143"/>
      <c r="B107" s="183" t="str">
        <f>Jednotlivci!L80</f>
        <v>NEV</v>
      </c>
      <c r="C107" s="180" t="s">
        <v>46</v>
      </c>
      <c r="D107" s="141"/>
      <c r="E107" s="142"/>
      <c r="F107" s="53">
        <f>I107+M107+O107+Q107+S107</f>
        <v>0</v>
      </c>
      <c r="G107" s="21">
        <f>F103</f>
        <v>0</v>
      </c>
      <c r="H107" s="191">
        <v>0</v>
      </c>
      <c r="I107" s="42">
        <f>IF(AND(H107&gt;6.8,H107&lt;11.3),IF(B$5=1,ROUNDDOWN(58.015*(11.26-H107)^1.81,0),ROUNDDOWN(58.015*(11.5-H107)^1.81,)),0)</f>
        <v>0</v>
      </c>
      <c r="J107" s="90">
        <v>0</v>
      </c>
      <c r="K107" s="27" t="s">
        <v>25</v>
      </c>
      <c r="L107" s="94">
        <v>0</v>
      </c>
      <c r="M107" s="46">
        <f>V107</f>
        <v>0</v>
      </c>
      <c r="N107" s="98"/>
      <c r="O107" s="50">
        <f>IF(AND(N107&gt;75),ROUNDDOWN(0.8465*(N107-75)^1.42,0),0)</f>
        <v>0</v>
      </c>
      <c r="P107" s="98">
        <v>0</v>
      </c>
      <c r="Q107" s="51">
        <f>IF(AND(P107&gt;210),ROUNDDOWN(0.14354*(P107-220)^1.4,0),0)</f>
        <v>0</v>
      </c>
      <c r="R107" s="102">
        <v>0</v>
      </c>
      <c r="S107" s="49">
        <f>IF(AND(R107&gt;10),ROUNDDOWN(5.33*(R107-10)^1.1,0),0)</f>
        <v>0</v>
      </c>
      <c r="U107" s="25">
        <f>J107*60+L107</f>
        <v>0</v>
      </c>
      <c r="V107" s="26">
        <f>IF(U107&gt;0,(INT(POWER(235-U107,1.85)*0.13279)),0)</f>
        <v>0</v>
      </c>
    </row>
    <row r="108" spans="1:22" ht="13.5" thickBot="1">
      <c r="A108" s="144"/>
      <c r="B108" s="189" t="str">
        <f>Jednotlivci!L81</f>
        <v>NEV</v>
      </c>
      <c r="C108" s="181" t="s">
        <v>47</v>
      </c>
      <c r="D108" s="14"/>
      <c r="E108" s="146"/>
      <c r="F108" s="54">
        <f>I108+M108+O108+Q108+S108</f>
        <v>0</v>
      </c>
      <c r="G108" s="22">
        <f>F103</f>
        <v>0</v>
      </c>
      <c r="H108" s="192">
        <v>0</v>
      </c>
      <c r="I108" s="81">
        <f>IF(AND(H108&gt;6.8,H108&lt;11.3),IF(B$5=1,ROUNDDOWN(58.015*(11.26-H108)^1.81,0),ROUNDDOWN(58.015*(11.5-H108)^1.81,)),0)</f>
        <v>0</v>
      </c>
      <c r="J108" s="92"/>
      <c r="K108" s="38" t="s">
        <v>25</v>
      </c>
      <c r="L108" s="96">
        <v>0</v>
      </c>
      <c r="M108" s="82">
        <f>V108</f>
        <v>0</v>
      </c>
      <c r="N108" s="99"/>
      <c r="O108" s="83">
        <f>IF(AND(N108&gt;75),ROUNDDOWN(0.8465*(N108-75)^1.42,0),0)</f>
        <v>0</v>
      </c>
      <c r="P108" s="99">
        <v>0</v>
      </c>
      <c r="Q108" s="84">
        <f>IF(AND(P108&gt;210),ROUNDDOWN(0.14354*(P108-220)^1.4,0),0)</f>
        <v>0</v>
      </c>
      <c r="R108" s="103">
        <v>0</v>
      </c>
      <c r="S108" s="85">
        <f>IF(AND(R108&gt;10),ROUNDDOWN(5.33*(R108-10)^1.1,0),0)</f>
        <v>0</v>
      </c>
      <c r="U108" s="25">
        <f>J108*60+L108</f>
        <v>0</v>
      </c>
      <c r="V108" s="26">
        <f>IF(U108&gt;0,(INT(POWER(235-U108,1.85)*0.13279)),0)</f>
        <v>0</v>
      </c>
    </row>
  </sheetData>
  <sheetProtection/>
  <mergeCells count="1">
    <mergeCell ref="J4:L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1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2.28125" style="0" customWidth="1"/>
    <col min="3" max="3" width="30.28125" style="0" customWidth="1"/>
    <col min="4" max="5" width="9.140625" style="86" customWidth="1"/>
    <col min="6" max="6" width="12.28125" style="135" bestFit="1" customWidth="1"/>
    <col min="7" max="7" width="4.7109375" style="86" customWidth="1"/>
    <col min="8" max="8" width="11.140625" style="135" customWidth="1"/>
    <col min="9" max="9" width="4.7109375" style="86" customWidth="1"/>
    <col min="10" max="10" width="13.140625" style="135" customWidth="1"/>
    <col min="11" max="11" width="4.7109375" style="86" customWidth="1"/>
    <col min="12" max="12" width="11.28125" style="135" customWidth="1"/>
    <col min="13" max="13" width="4.7109375" style="86" customWidth="1"/>
    <col min="14" max="14" width="15.8515625" style="135" customWidth="1"/>
    <col min="15" max="15" width="4.7109375" style="86" customWidth="1"/>
  </cols>
  <sheetData>
    <row r="5" spans="2:3" ht="12.75">
      <c r="B5" s="18"/>
      <c r="C5" s="4" t="s">
        <v>121</v>
      </c>
    </row>
    <row r="6" spans="1:15" ht="12.75">
      <c r="A6" s="18" t="s">
        <v>0</v>
      </c>
      <c r="B6" s="18"/>
      <c r="C6" s="18" t="s">
        <v>15</v>
      </c>
      <c r="D6" s="201" t="s">
        <v>16</v>
      </c>
      <c r="E6" s="201" t="s">
        <v>17</v>
      </c>
      <c r="F6" s="202"/>
      <c r="G6" s="201"/>
      <c r="H6" s="202"/>
      <c r="I6" s="201"/>
      <c r="J6" s="202"/>
      <c r="K6" s="201"/>
      <c r="L6" s="202"/>
      <c r="M6" s="201"/>
      <c r="N6" s="202"/>
      <c r="O6" s="201"/>
    </row>
    <row r="7" spans="1:16" ht="12.75">
      <c r="A7" s="124">
        <f aca="true" t="shared" si="0" ref="A7:A21">(RANK(E7,$E$7:$E$21))</f>
        <v>1</v>
      </c>
      <c r="B7" s="128"/>
      <c r="C7" s="214" t="str">
        <f>Bodování!$C$12</f>
        <v>ZŠ Komenského 2, Žďár n. S.</v>
      </c>
      <c r="D7" s="130" t="str">
        <f>Bodování!$E$54</f>
        <v>VYS</v>
      </c>
      <c r="E7" s="131">
        <f>Bodování!$F$12</f>
        <v>6062</v>
      </c>
      <c r="F7" s="136" t="str">
        <f>Bodování!$C$13</f>
        <v>Bantianidis Athanasios</v>
      </c>
      <c r="G7" s="132">
        <f>Bodování!$F$13</f>
        <v>1500</v>
      </c>
      <c r="H7" s="136" t="str">
        <f>Bodování!$C$14</f>
        <v>Sukup Štěpán</v>
      </c>
      <c r="I7" s="132">
        <f>Bodování!$F$14</f>
        <v>1561</v>
      </c>
      <c r="J7" s="136" t="str">
        <f>Bodování!$C$15</f>
        <v>Lacina Jakub</v>
      </c>
      <c r="K7" s="132">
        <f>Bodování!$F$15</f>
        <v>1403</v>
      </c>
      <c r="L7" s="136" t="str">
        <f>Bodování!$C$16</f>
        <v>Pelikán Matěj</v>
      </c>
      <c r="M7" s="132">
        <f>Bodování!$F$16</f>
        <v>1585</v>
      </c>
      <c r="N7" s="136" t="str">
        <f>Bodování!$C$17</f>
        <v>Zedník Vojtěch</v>
      </c>
      <c r="O7" s="132">
        <f>Bodování!$F$17</f>
        <v>1416</v>
      </c>
      <c r="P7" s="17"/>
    </row>
    <row r="8" spans="1:15" ht="12.75">
      <c r="A8" s="124">
        <f t="shared" si="0"/>
        <v>2</v>
      </c>
      <c r="B8" s="128"/>
      <c r="C8" s="119" t="str">
        <f>Bodování!$C$40</f>
        <v>ZŠ Velká Bíteš</v>
      </c>
      <c r="D8" s="130" t="str">
        <f>Bodování!$E$40</f>
        <v>VYS</v>
      </c>
      <c r="E8" s="131">
        <f>Bodování!$F$40</f>
        <v>5254</v>
      </c>
      <c r="F8" s="136" t="str">
        <f>Bodování!$C$41</f>
        <v>Matoušek Tadeáš</v>
      </c>
      <c r="G8" s="132">
        <f>Bodování!$F$41</f>
        <v>1444</v>
      </c>
      <c r="H8" s="136" t="str">
        <f>Bodování!$C$42</f>
        <v>Uherka Michal</v>
      </c>
      <c r="I8" s="132">
        <f>Bodování!$F$42</f>
        <v>1146</v>
      </c>
      <c r="J8" s="136" t="str">
        <f>Bodování!$C$43</f>
        <v>Sláma Daniel</v>
      </c>
      <c r="K8" s="132">
        <f>Bodování!$F$43</f>
        <v>1398</v>
      </c>
      <c r="L8" s="136" t="str">
        <f>Bodování!$C$44</f>
        <v>Kment Vojtěch</v>
      </c>
      <c r="M8" s="132">
        <f>Bodování!$F$44</f>
        <v>1266</v>
      </c>
      <c r="N8" s="136" t="str">
        <f>Bodování!$C$45</f>
        <v>Komrska Karel</v>
      </c>
      <c r="O8" s="132">
        <f>Bodování!$F$45</f>
        <v>1040</v>
      </c>
    </row>
    <row r="9" spans="1:15" ht="12.75">
      <c r="A9" s="124">
        <f t="shared" si="0"/>
        <v>3</v>
      </c>
      <c r="B9" s="128"/>
      <c r="C9" s="119" t="str">
        <f>Bodování!$C$19</f>
        <v>ŽŠ Školní Velké Meziříčí</v>
      </c>
      <c r="D9" s="130" t="str">
        <f>Bodování!$E$61</f>
        <v>VYS</v>
      </c>
      <c r="E9" s="131">
        <f>Bodování!$F$19</f>
        <v>5164</v>
      </c>
      <c r="F9" s="136" t="str">
        <f>Bodování!$C$20</f>
        <v>Fiala Štěpán</v>
      </c>
      <c r="G9" s="132">
        <f>Bodování!$F$20</f>
        <v>1425</v>
      </c>
      <c r="H9" s="136" t="str">
        <f>Bodování!$C$21</f>
        <v>Novák Jan</v>
      </c>
      <c r="I9" s="132">
        <f>Bodování!$F$21</f>
        <v>1146</v>
      </c>
      <c r="J9" s="136" t="str">
        <f>Bodování!$C$22</f>
        <v>Jonáš Petr</v>
      </c>
      <c r="K9" s="132">
        <f>Bodování!$F$22</f>
        <v>1014</v>
      </c>
      <c r="L9" s="136" t="str">
        <f>Bodování!$C$23</f>
        <v>Buriánek Michal</v>
      </c>
      <c r="M9" s="132">
        <f>Bodování!$F$23</f>
        <v>1526</v>
      </c>
      <c r="N9" s="136" t="str">
        <f>Bodování!$C$24</f>
        <v>Jonáš Radek</v>
      </c>
      <c r="O9" s="132">
        <f>Bodování!$F$24</f>
        <v>1067</v>
      </c>
    </row>
    <row r="10" spans="1:15" ht="12.75">
      <c r="A10" s="124">
        <f t="shared" si="0"/>
        <v>4</v>
      </c>
      <c r="B10" s="128"/>
      <c r="C10" s="119" t="str">
        <f>Bodování!$C$68</f>
        <v>ZŠ T.G.M. Bystřice n. P.</v>
      </c>
      <c r="D10" s="130" t="str">
        <f>Bodování!$E$19</f>
        <v>VYS</v>
      </c>
      <c r="E10" s="125">
        <f>Bodování!$F$68</f>
        <v>4910</v>
      </c>
      <c r="F10" s="136" t="str">
        <f>Bodování!$C$69</f>
        <v>Stránský David</v>
      </c>
      <c r="G10" s="132">
        <f>Bodování!$F$69</f>
        <v>976</v>
      </c>
      <c r="H10" s="136" t="str">
        <f>Bodování!$C$70</f>
        <v>Vařejka Jan</v>
      </c>
      <c r="I10" s="132">
        <f>Bodování!$F$70</f>
        <v>1045</v>
      </c>
      <c r="J10" s="136" t="str">
        <f>Bodování!$C$71</f>
        <v>Vařejka Karel</v>
      </c>
      <c r="K10" s="132">
        <f>Bodování!$F$71</f>
        <v>1100</v>
      </c>
      <c r="L10" s="136" t="str">
        <f>Bodování!$C$72</f>
        <v>Zeman Stanislav</v>
      </c>
      <c r="M10" s="132">
        <f>Bodování!$F$72</f>
        <v>1389</v>
      </c>
      <c r="N10" s="136" t="str">
        <f>Bodování!$C$73</f>
        <v>Kobza Michal</v>
      </c>
      <c r="O10" s="132">
        <f>Bodování!$F$73</f>
        <v>1376</v>
      </c>
    </row>
    <row r="11" spans="1:15" ht="12.75">
      <c r="A11" s="124">
        <f t="shared" si="0"/>
        <v>5</v>
      </c>
      <c r="B11" s="128"/>
      <c r="C11" s="119" t="str">
        <f>Bodování!$C$33</f>
        <v>ZŠ Měřín</v>
      </c>
      <c r="D11" s="130" t="str">
        <f>Bodování!$E$33</f>
        <v>VYS</v>
      </c>
      <c r="E11" s="131">
        <f>Bodování!$F$33</f>
        <v>4731</v>
      </c>
      <c r="F11" s="136" t="str">
        <f>Bodování!$C$34</f>
        <v>Dobejval Lukáš</v>
      </c>
      <c r="G11" s="132">
        <f>Bodování!$F$34</f>
        <v>1188</v>
      </c>
      <c r="H11" s="136" t="str">
        <f>Bodování!$C$35</f>
        <v>Březka Ivo</v>
      </c>
      <c r="I11" s="132">
        <f>Bodování!$F$35</f>
        <v>1454</v>
      </c>
      <c r="J11" s="136" t="str">
        <f>Bodování!$C$36</f>
        <v>Rohovský Vít</v>
      </c>
      <c r="K11" s="132">
        <f>Bodování!$F$36</f>
        <v>1282</v>
      </c>
      <c r="L11" s="136" t="str">
        <f>Bodování!$C$37</f>
        <v>Zdvihal Šimon</v>
      </c>
      <c r="M11" s="132">
        <f>Bodování!$F$37</f>
        <v>757</v>
      </c>
      <c r="N11" s="136" t="str">
        <f>Bodování!$C$38</f>
        <v>Tranda František</v>
      </c>
      <c r="O11" s="132">
        <f>Bodování!$F$38</f>
        <v>807</v>
      </c>
    </row>
    <row r="12" spans="1:15" ht="12.75">
      <c r="A12" s="124">
        <f t="shared" si="0"/>
        <v>6</v>
      </c>
      <c r="B12" s="128"/>
      <c r="C12" s="119" t="str">
        <f>Bodování!$C$54</f>
        <v>ZŠ Švermova Žďár n. S.</v>
      </c>
      <c r="D12" s="130" t="str">
        <f>Bodování!$E$5</f>
        <v>VYS</v>
      </c>
      <c r="E12" s="131">
        <f>Bodování!$F$54</f>
        <v>4712</v>
      </c>
      <c r="F12" s="136" t="str">
        <f>Bodování!$C$55</f>
        <v>Kamarád Václav</v>
      </c>
      <c r="G12" s="132">
        <f>Bodování!$F$55</f>
        <v>1133</v>
      </c>
      <c r="H12" s="136" t="str">
        <f>Bodování!$C$56</f>
        <v>Trojan Jakub</v>
      </c>
      <c r="I12" s="132">
        <f>Bodování!$F$56</f>
        <v>1390</v>
      </c>
      <c r="J12" s="136" t="str">
        <f>Bodování!$C$57</f>
        <v>Pátek Radim</v>
      </c>
      <c r="K12" s="132">
        <f>Bodování!$F$57</f>
        <v>870</v>
      </c>
      <c r="L12" s="136" t="str">
        <f>Bodování!$C$58</f>
        <v>Dvořák Josef</v>
      </c>
      <c r="M12" s="132">
        <f>Bodování!$F$58</f>
        <v>1163</v>
      </c>
      <c r="N12" s="136" t="str">
        <f>Bodování!$C$59</f>
        <v>Vavroušek David</v>
      </c>
      <c r="O12" s="132">
        <f>Bodování!$F$59</f>
        <v>1026</v>
      </c>
    </row>
    <row r="13" spans="1:15" ht="12.75">
      <c r="A13" s="124">
        <f t="shared" si="0"/>
        <v>7</v>
      </c>
      <c r="B13" s="128"/>
      <c r="C13" s="119" t="str">
        <f>Bodování!$C$61</f>
        <v>ZŠ Oslavická V. Meziříčí</v>
      </c>
      <c r="D13" s="130" t="str">
        <f>Bodování!$E$12</f>
        <v>VYS</v>
      </c>
      <c r="E13" s="131">
        <f>Bodování!$F$61</f>
        <v>4691</v>
      </c>
      <c r="F13" s="136" t="str">
        <f>Bodování!$C$62</f>
        <v>Hugo Michal</v>
      </c>
      <c r="G13" s="132">
        <f>Bodování!$F$62</f>
        <v>1243</v>
      </c>
      <c r="H13" s="136" t="str">
        <f>Bodování!$C$63</f>
        <v>Čermák Jiří</v>
      </c>
      <c r="I13" s="132">
        <f>Bodování!$F$63</f>
        <v>1219</v>
      </c>
      <c r="J13" s="136" t="str">
        <f>Bodování!$C$64</f>
        <v>Tůma Tomáš</v>
      </c>
      <c r="K13" s="132">
        <f>Bodování!$F$64</f>
        <v>1058</v>
      </c>
      <c r="L13" s="136" t="str">
        <f>Bodování!$C$65</f>
        <v>Klíma Tomáš</v>
      </c>
      <c r="M13" s="132">
        <f>Bodování!$F$65</f>
        <v>834</v>
      </c>
      <c r="N13" s="136" t="str">
        <f>Bodování!$C$66</f>
        <v>Valenta Jaroslav</v>
      </c>
      <c r="O13" s="132">
        <f>Bodování!$F$66</f>
        <v>1171</v>
      </c>
    </row>
    <row r="14" spans="1:15" ht="12.75">
      <c r="A14" s="124">
        <f t="shared" si="0"/>
        <v>8</v>
      </c>
      <c r="B14" s="128"/>
      <c r="C14" s="129" t="str">
        <f>Bodování!C82</f>
        <v>Gymnázium Žďár n. S.</v>
      </c>
      <c r="D14" s="133" t="str">
        <f>Bodování!E82</f>
        <v>VYS</v>
      </c>
      <c r="E14" s="124">
        <f>Bodování!F82</f>
        <v>4369</v>
      </c>
      <c r="F14" s="137" t="str">
        <f>Bodování!C83</f>
        <v>Kunc Martin</v>
      </c>
      <c r="G14" s="134">
        <f>Bodování!F83</f>
        <v>1028</v>
      </c>
      <c r="H14" s="137" t="str">
        <f>Bodování!C84</f>
        <v>Krejčí Adam</v>
      </c>
      <c r="I14" s="134">
        <f>Bodování!F84</f>
        <v>1297</v>
      </c>
      <c r="J14" s="137" t="str">
        <f>Bodování!C85</f>
        <v>Bouček Matěj</v>
      </c>
      <c r="K14" s="134">
        <f>Bodování!F85</f>
        <v>1148</v>
      </c>
      <c r="L14" s="137" t="str">
        <f>Bodování!C86</f>
        <v>Hladký Marek</v>
      </c>
      <c r="M14" s="134">
        <f>Bodování!F86</f>
        <v>896</v>
      </c>
      <c r="N14" s="137" t="str">
        <f>Bodování!C87</f>
        <v>Budzinski Marek</v>
      </c>
      <c r="O14" s="134">
        <f>Bodování!F87</f>
        <v>572</v>
      </c>
    </row>
    <row r="15" spans="1:15" ht="12.75">
      <c r="A15" s="124">
        <f t="shared" si="0"/>
        <v>9</v>
      </c>
      <c r="B15" s="127"/>
      <c r="C15" s="119" t="str">
        <f>Bodování!$C$47</f>
        <v>ZŠ Nádražní Bysřice n. P.</v>
      </c>
      <c r="D15" s="130" t="str">
        <f>Bodování!$E$47</f>
        <v>VYS</v>
      </c>
      <c r="E15" s="131">
        <f>Bodování!$F$47</f>
        <v>4217</v>
      </c>
      <c r="F15" s="136" t="str">
        <f>Bodování!$C$48</f>
        <v>Prášil Radim</v>
      </c>
      <c r="G15" s="132">
        <f>Bodování!$F$48</f>
        <v>1100</v>
      </c>
      <c r="H15" s="136" t="str">
        <f>Bodování!$C$49</f>
        <v>Honeš Šimon</v>
      </c>
      <c r="I15" s="132">
        <f>Bodování!$F$49</f>
        <v>997</v>
      </c>
      <c r="J15" s="136" t="str">
        <f>Bodování!$C$50</f>
        <v>Tomášek Jiří</v>
      </c>
      <c r="K15" s="132">
        <f>Bodování!$F$50</f>
        <v>963</v>
      </c>
      <c r="L15" s="136" t="str">
        <f>Bodování!$C$51</f>
        <v>Stejskal Josef</v>
      </c>
      <c r="M15" s="132">
        <f>Bodování!$F$51</f>
        <v>1157</v>
      </c>
      <c r="N15" s="136" t="str">
        <f>Bodování!$C$52</f>
        <v>Kubík Petr </v>
      </c>
      <c r="O15" s="132">
        <f>Bodování!$F$52</f>
        <v>831</v>
      </c>
    </row>
    <row r="16" spans="1:15" ht="12.75">
      <c r="A16" s="124">
        <f t="shared" si="0"/>
        <v>10</v>
      </c>
      <c r="B16" s="128"/>
      <c r="C16" s="119" t="str">
        <f>Bodování!$C$26</f>
        <v>Gymnázium Velké Meziříčí</v>
      </c>
      <c r="D16" s="130" t="str">
        <f>Bodování!$E$68</f>
        <v>VYS</v>
      </c>
      <c r="E16" s="131">
        <f>Bodování!$F$26</f>
        <v>4091</v>
      </c>
      <c r="F16" s="136" t="str">
        <f>Bodování!$C$27</f>
        <v>Špaček Matouš</v>
      </c>
      <c r="G16" s="132">
        <f>Bodování!$F$27</f>
        <v>1218</v>
      </c>
      <c r="H16" s="136" t="str">
        <f>Bodování!$C$28</f>
        <v>Vokoun Petr</v>
      </c>
      <c r="I16" s="132">
        <f>Bodování!$F$28</f>
        <v>934</v>
      </c>
      <c r="J16" s="136" t="str">
        <f>Bodování!$C$29</f>
        <v>Havlíček Vít</v>
      </c>
      <c r="K16" s="132">
        <f>Bodování!$F$29</f>
        <v>997</v>
      </c>
      <c r="L16" s="136" t="str">
        <f>Bodování!$C$30</f>
        <v>Sobotka Viktor</v>
      </c>
      <c r="M16" s="132">
        <f>Bodování!$F$30</f>
        <v>862</v>
      </c>
      <c r="N16" s="136" t="str">
        <f>Bodování!$C$31</f>
        <v>Turza Jan</v>
      </c>
      <c r="O16" s="132">
        <f>Bodování!$F$31</f>
        <v>942</v>
      </c>
    </row>
    <row r="17" spans="1:15" ht="12.75">
      <c r="A17" s="124">
        <f t="shared" si="0"/>
        <v>11</v>
      </c>
      <c r="B17" s="128"/>
      <c r="C17" s="119" t="str">
        <f>Bodování!$C$5</f>
        <v>Gymnázium Bystřice n. P.</v>
      </c>
      <c r="D17" s="130" t="str">
        <f>Bodování!$E$26</f>
        <v>VYS</v>
      </c>
      <c r="E17" s="131">
        <f>Bodování!$F$5</f>
        <v>3954</v>
      </c>
      <c r="F17" s="136" t="str">
        <f>Bodování!$C$6</f>
        <v>Švanda Dominik</v>
      </c>
      <c r="G17" s="132">
        <f>Bodování!$F$6</f>
        <v>1000</v>
      </c>
      <c r="H17" s="136" t="str">
        <f>Bodování!$C$7</f>
        <v>Smolík Petr</v>
      </c>
      <c r="I17" s="132">
        <f>Bodování!$F$7</f>
        <v>1131</v>
      </c>
      <c r="J17" s="136" t="str">
        <f>Bodování!$C$8</f>
        <v>Žilka Jakub</v>
      </c>
      <c r="K17" s="132">
        <f>Bodování!$F$8</f>
        <v>863</v>
      </c>
      <c r="L17" s="136" t="str">
        <f>Bodování!$C$9</f>
        <v>Ludvík Rostislav</v>
      </c>
      <c r="M17" s="132">
        <f>Bodování!$F$9</f>
        <v>960</v>
      </c>
      <c r="N17" s="136" t="str">
        <f>Bodování!$C$10</f>
        <v>Toman Antonín</v>
      </c>
      <c r="O17" s="132">
        <f>Bodování!$F$10</f>
        <v>837</v>
      </c>
    </row>
    <row r="18" spans="1:15" ht="12.75">
      <c r="A18" s="124">
        <f t="shared" si="0"/>
        <v>12</v>
      </c>
      <c r="B18" s="128"/>
      <c r="C18" s="129" t="str">
        <f>Bodování!C75</f>
        <v>ZŠ Sokolovská Velké Meziříčí</v>
      </c>
      <c r="D18" s="133" t="str">
        <f>Bodování!E75</f>
        <v>VYS</v>
      </c>
      <c r="E18" s="124">
        <f>Bodování!F75</f>
        <v>3871</v>
      </c>
      <c r="F18" s="137" t="str">
        <f>Bodování!C76</f>
        <v>Jaša Adam</v>
      </c>
      <c r="G18" s="134">
        <f>Bodování!F76</f>
        <v>778</v>
      </c>
      <c r="H18" s="137" t="str">
        <f>Bodování!C77</f>
        <v>Kudláček Jan</v>
      </c>
      <c r="I18" s="134">
        <f>Bodování!F77</f>
        <v>913</v>
      </c>
      <c r="J18" s="137" t="str">
        <f>Bodování!C78</f>
        <v>Kutil Dušan</v>
      </c>
      <c r="K18" s="134">
        <f>Bodování!F78</f>
        <v>1193</v>
      </c>
      <c r="L18" s="137" t="str">
        <f>Bodování!C79</f>
        <v>Šimánek Štěpán</v>
      </c>
      <c r="M18" s="134">
        <f>Bodování!F79</f>
        <v>987</v>
      </c>
      <c r="N18" s="137">
        <f>Bodování!C80</f>
        <v>0</v>
      </c>
      <c r="O18" s="134">
        <f>Bodování!F80</f>
        <v>0</v>
      </c>
    </row>
    <row r="19" spans="1:15" ht="12.75">
      <c r="A19" s="124">
        <f t="shared" si="0"/>
        <v>13</v>
      </c>
      <c r="B19" s="128"/>
      <c r="C19" s="129" t="str">
        <f>Bodování!C89</f>
        <v>1. ZŠ Nové Město na Moravě</v>
      </c>
      <c r="D19" s="133" t="str">
        <f>Bodování!E89</f>
        <v>VYS</v>
      </c>
      <c r="E19" s="124">
        <f>Bodování!F89</f>
        <v>3393</v>
      </c>
      <c r="F19" s="137" t="str">
        <f>Bodování!C90</f>
        <v>Němeček Jan</v>
      </c>
      <c r="G19" s="134">
        <f>Bodování!F90</f>
        <v>816</v>
      </c>
      <c r="H19" s="137" t="str">
        <f>Bodování!C91</f>
        <v>Hrouda František</v>
      </c>
      <c r="I19" s="134">
        <f>Bodování!F91</f>
        <v>842</v>
      </c>
      <c r="J19" s="137" t="str">
        <f>Bodování!C92</f>
        <v>Dobrovolný Tadeáš</v>
      </c>
      <c r="K19" s="134">
        <f>Bodování!F92</f>
        <v>694</v>
      </c>
      <c r="L19" s="137" t="str">
        <f>Bodování!C93</f>
        <v>Lempera Radim</v>
      </c>
      <c r="M19" s="134">
        <f>Bodování!F93</f>
        <v>1041</v>
      </c>
      <c r="N19" s="137" t="str">
        <f>Bodování!C94</f>
        <v>Janů Petr</v>
      </c>
      <c r="O19" s="134">
        <f>Bodování!F94</f>
        <v>548</v>
      </c>
    </row>
    <row r="20" spans="1:15" ht="12.75" hidden="1">
      <c r="A20" s="124">
        <f t="shared" si="0"/>
        <v>14</v>
      </c>
      <c r="B20" s="128"/>
      <c r="C20" s="129" t="str">
        <f>Bodování!C96</f>
        <v>XXX</v>
      </c>
      <c r="D20" s="133" t="str">
        <f>Bodování!E96</f>
        <v>VYS</v>
      </c>
      <c r="E20" s="124">
        <f>Bodování!F96</f>
        <v>0</v>
      </c>
      <c r="F20" s="137" t="str">
        <f>Bodování!C97</f>
        <v>y1</v>
      </c>
      <c r="G20" s="134">
        <f>Bodování!F97</f>
        <v>0</v>
      </c>
      <c r="H20" s="137" t="str">
        <f>Bodování!C98</f>
        <v>y2</v>
      </c>
      <c r="I20" s="134">
        <f>Bodování!F98</f>
        <v>0</v>
      </c>
      <c r="J20" s="137" t="str">
        <f>Bodování!C99</f>
        <v>y3</v>
      </c>
      <c r="K20" s="134">
        <f>Bodování!F99</f>
        <v>0</v>
      </c>
      <c r="L20" s="137" t="str">
        <f>Bodování!C100</f>
        <v>y4</v>
      </c>
      <c r="M20" s="134">
        <f>Bodování!F100</f>
        <v>0</v>
      </c>
      <c r="N20" s="137" t="str">
        <f>Bodování!C101</f>
        <v>y5</v>
      </c>
      <c r="O20" s="134">
        <f>Bodování!F101</f>
        <v>0</v>
      </c>
    </row>
    <row r="21" spans="1:15" ht="12.75" hidden="1">
      <c r="A21" s="124">
        <f t="shared" si="0"/>
        <v>14</v>
      </c>
      <c r="B21" s="128"/>
      <c r="C21" s="129" t="str">
        <f>Bodování!C103</f>
        <v>XXX</v>
      </c>
      <c r="D21" s="133" t="str">
        <f>Bodování!E103</f>
        <v>VYS</v>
      </c>
      <c r="E21" s="124">
        <f>Bodování!F103</f>
        <v>0</v>
      </c>
      <c r="F21" s="137" t="str">
        <f>Bodování!C104</f>
        <v>z1</v>
      </c>
      <c r="G21" s="134">
        <f>Bodování!F104</f>
        <v>0</v>
      </c>
      <c r="H21" s="137" t="str">
        <f>Bodování!C105</f>
        <v>z2</v>
      </c>
      <c r="I21" s="134">
        <f>Bodování!F105</f>
        <v>0</v>
      </c>
      <c r="J21" s="137" t="str">
        <f>Bodování!C106</f>
        <v>z3</v>
      </c>
      <c r="K21" s="134">
        <f>Bodování!F106</f>
        <v>0</v>
      </c>
      <c r="L21" s="137" t="str">
        <f>Bodování!C107</f>
        <v>z4</v>
      </c>
      <c r="M21" s="134">
        <f>Bodování!F107</f>
        <v>0</v>
      </c>
      <c r="N21" s="137" t="str">
        <f>Bodování!C108</f>
        <v>z5</v>
      </c>
      <c r="O21" s="134">
        <f>Bodování!F108</f>
        <v>0</v>
      </c>
    </row>
  </sheetData>
  <sheetProtection/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8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57421875" style="24" customWidth="1"/>
    <col min="2" max="2" width="23.57421875" style="24" customWidth="1"/>
    <col min="3" max="3" width="26.421875" style="24" customWidth="1"/>
    <col min="4" max="5" width="9.140625" style="114" customWidth="1"/>
    <col min="6" max="6" width="4.8515625" style="24" customWidth="1"/>
    <col min="7" max="7" width="1.421875" style="24" customWidth="1"/>
    <col min="8" max="8" width="6.28125" style="24" customWidth="1"/>
    <col min="9" max="11" width="9.140625" style="114" customWidth="1"/>
    <col min="12" max="12" width="11.57421875" style="24" bestFit="1" customWidth="1"/>
    <col min="13" max="16384" width="9.140625" style="24" customWidth="1"/>
  </cols>
  <sheetData>
    <row r="5" spans="1:2" ht="12.75">
      <c r="A5" s="152"/>
      <c r="B5" s="203" t="s">
        <v>121</v>
      </c>
    </row>
    <row r="6" spans="1:12" ht="12.75">
      <c r="A6" s="152"/>
      <c r="B6" s="116" t="s">
        <v>18</v>
      </c>
      <c r="C6" s="116" t="s">
        <v>19</v>
      </c>
      <c r="D6" s="117" t="s">
        <v>20</v>
      </c>
      <c r="E6" s="117" t="s">
        <v>21</v>
      </c>
      <c r="F6" s="217" t="s">
        <v>29</v>
      </c>
      <c r="G6" s="217"/>
      <c r="H6" s="217"/>
      <c r="I6" s="117" t="s">
        <v>12</v>
      </c>
      <c r="J6" s="117" t="s">
        <v>22</v>
      </c>
      <c r="K6" s="117" t="s">
        <v>23</v>
      </c>
      <c r="L6" s="117" t="s">
        <v>0</v>
      </c>
    </row>
    <row r="7" spans="1:12" ht="12.75">
      <c r="A7" s="204"/>
      <c r="B7" s="213" t="str">
        <f>Bodování!C16</f>
        <v>Pelikán Matěj</v>
      </c>
      <c r="C7" s="121" t="str">
        <f>Bodování!$C$12</f>
        <v>ZŠ Komenského 2, Žďár n. S.</v>
      </c>
      <c r="D7" s="126">
        <f>Bodování!F16</f>
        <v>1585</v>
      </c>
      <c r="E7" s="122">
        <f>Bodování!H16</f>
        <v>8</v>
      </c>
      <c r="F7" s="116">
        <f>Bodování!J16</f>
        <v>2</v>
      </c>
      <c r="G7" s="206" t="s">
        <v>25</v>
      </c>
      <c r="H7" s="207">
        <f>Bodování!L16</f>
        <v>25.61</v>
      </c>
      <c r="I7" s="117">
        <f>Bodování!N16</f>
        <v>0</v>
      </c>
      <c r="J7" s="117">
        <f>Bodování!P16</f>
        <v>434</v>
      </c>
      <c r="K7" s="122">
        <f>Bodování!R16</f>
        <v>48</v>
      </c>
      <c r="L7" s="124">
        <f aca="true" t="shared" si="0" ref="L7:L38">IF(D7=0,"NEV",(RANK(D7,$D$7:$D$81)))</f>
        <v>1</v>
      </c>
    </row>
    <row r="8" spans="1:12" ht="12.75">
      <c r="A8" s="204"/>
      <c r="B8" s="213" t="str">
        <f>Bodování!C14</f>
        <v>Sukup Štěpán</v>
      </c>
      <c r="C8" s="121" t="str">
        <f>Bodování!$C$12</f>
        <v>ZŠ Komenského 2, Žďár n. S.</v>
      </c>
      <c r="D8" s="126">
        <f>Bodování!F14</f>
        <v>1561</v>
      </c>
      <c r="E8" s="122">
        <f>Bodování!H14</f>
        <v>8</v>
      </c>
      <c r="F8" s="116">
        <f>Bodování!J14</f>
        <v>2</v>
      </c>
      <c r="G8" s="206" t="s">
        <v>25</v>
      </c>
      <c r="H8" s="207">
        <f>Bodování!L14</f>
        <v>38.83</v>
      </c>
      <c r="I8" s="117">
        <f>Bodování!N14</f>
        <v>150</v>
      </c>
      <c r="J8" s="117">
        <f>Bodování!P14</f>
        <v>0</v>
      </c>
      <c r="K8" s="122">
        <f>Bodování!R14</f>
        <v>46.5</v>
      </c>
      <c r="L8" s="124">
        <f t="shared" si="0"/>
        <v>2</v>
      </c>
    </row>
    <row r="9" spans="1:12" ht="12.75">
      <c r="A9" s="204"/>
      <c r="B9" s="121" t="str">
        <f>Bodování!C23</f>
        <v>Buriánek Michal</v>
      </c>
      <c r="C9" s="121" t="str">
        <f>Bodování!$C$19</f>
        <v>ŽŠ Školní Velké Meziříčí</v>
      </c>
      <c r="D9" s="126">
        <f>Bodování!F23</f>
        <v>1526</v>
      </c>
      <c r="E9" s="122">
        <f>Bodování!H23</f>
        <v>7.9</v>
      </c>
      <c r="F9" s="116">
        <f>Bodování!J23</f>
        <v>2</v>
      </c>
      <c r="G9" s="206" t="s">
        <v>25</v>
      </c>
      <c r="H9" s="207">
        <f>Bodování!L23</f>
        <v>34.86</v>
      </c>
      <c r="I9" s="117">
        <f>Bodování!N23</f>
        <v>0</v>
      </c>
      <c r="J9" s="117">
        <f>Bodování!P23</f>
        <v>478</v>
      </c>
      <c r="K9" s="122">
        <f>Bodování!R23</f>
        <v>40</v>
      </c>
      <c r="L9" s="124">
        <f t="shared" si="0"/>
        <v>3</v>
      </c>
    </row>
    <row r="10" spans="1:12" ht="12.75">
      <c r="A10" s="204"/>
      <c r="B10" s="213" t="str">
        <f>Bodování!C13</f>
        <v>Bantianidis Athanasios</v>
      </c>
      <c r="C10" s="121" t="str">
        <f>Bodování!$C$12</f>
        <v>ZŠ Komenského 2, Žďár n. S.</v>
      </c>
      <c r="D10" s="126">
        <f>Bodování!F13</f>
        <v>1500</v>
      </c>
      <c r="E10" s="122">
        <f>Bodování!H13</f>
        <v>8.1</v>
      </c>
      <c r="F10" s="116">
        <f>Bodování!J13</f>
        <v>2</v>
      </c>
      <c r="G10" s="206" t="s">
        <v>25</v>
      </c>
      <c r="H10" s="207">
        <f>Bodování!L13</f>
        <v>34.67</v>
      </c>
      <c r="I10" s="117">
        <f>Bodování!N13</f>
        <v>130</v>
      </c>
      <c r="J10" s="117">
        <f>Bodování!P13</f>
        <v>0</v>
      </c>
      <c r="K10" s="122">
        <f>Bodování!R13</f>
        <v>54</v>
      </c>
      <c r="L10" s="124">
        <f t="shared" si="0"/>
        <v>4</v>
      </c>
    </row>
    <row r="11" spans="1:12" ht="12.75">
      <c r="A11" s="204"/>
      <c r="B11" s="121" t="str">
        <f>Bodování!C35</f>
        <v>Březka Ivo</v>
      </c>
      <c r="C11" s="121" t="str">
        <f>Bodování!$C$33</f>
        <v>ZŠ Měřín</v>
      </c>
      <c r="D11" s="126">
        <f>Bodování!F35</f>
        <v>1454</v>
      </c>
      <c r="E11" s="122">
        <f>Bodování!H35</f>
        <v>8.2</v>
      </c>
      <c r="F11" s="116">
        <f>Bodování!J35</f>
        <v>2</v>
      </c>
      <c r="G11" s="206" t="s">
        <v>25</v>
      </c>
      <c r="H11" s="207">
        <f>Bodování!L35</f>
        <v>30.89</v>
      </c>
      <c r="I11" s="117">
        <f>Bodování!N35</f>
        <v>135</v>
      </c>
      <c r="J11" s="117">
        <f>Bodování!P35</f>
        <v>0</v>
      </c>
      <c r="K11" s="122">
        <f>Bodování!R35</f>
        <v>43</v>
      </c>
      <c r="L11" s="124">
        <f t="shared" si="0"/>
        <v>5</v>
      </c>
    </row>
    <row r="12" spans="1:12" ht="12.75">
      <c r="A12" s="204"/>
      <c r="B12" s="121" t="str">
        <f>Bodování!C41</f>
        <v>Matoušek Tadeáš</v>
      </c>
      <c r="C12" s="121" t="str">
        <f>Bodování!$C$40</f>
        <v>ZŠ Velká Bíteš</v>
      </c>
      <c r="D12" s="126">
        <f>Bodování!F41</f>
        <v>1444</v>
      </c>
      <c r="E12" s="122">
        <f>Bodování!H41</f>
        <v>8</v>
      </c>
      <c r="F12" s="116">
        <f>Bodování!J41</f>
        <v>2</v>
      </c>
      <c r="G12" s="206" t="s">
        <v>25</v>
      </c>
      <c r="H12" s="207">
        <f>Bodování!L41</f>
        <v>43.13</v>
      </c>
      <c r="I12" s="117">
        <f>Bodování!N41</f>
        <v>140</v>
      </c>
      <c r="J12" s="117">
        <f>Bodování!P41</f>
        <v>0</v>
      </c>
      <c r="K12" s="122">
        <f>Bodování!R41</f>
        <v>46</v>
      </c>
      <c r="L12" s="124">
        <f t="shared" si="0"/>
        <v>6</v>
      </c>
    </row>
    <row r="13" spans="1:12" ht="12.75">
      <c r="A13" s="204"/>
      <c r="B13" s="121" t="str">
        <f>Bodování!C20</f>
        <v>Fiala Štěpán</v>
      </c>
      <c r="C13" s="121" t="str">
        <f>Bodování!$C$19</f>
        <v>ŽŠ Školní Velké Meziříčí</v>
      </c>
      <c r="D13" s="126">
        <f>Bodování!F20</f>
        <v>1425</v>
      </c>
      <c r="E13" s="122">
        <f>Bodování!H20</f>
        <v>8</v>
      </c>
      <c r="F13" s="116">
        <f>Bodování!J20</f>
        <v>2</v>
      </c>
      <c r="G13" s="206" t="s">
        <v>25</v>
      </c>
      <c r="H13" s="207">
        <f>Bodování!L20</f>
        <v>51.01</v>
      </c>
      <c r="I13" s="117">
        <f>Bodování!N20</f>
        <v>140</v>
      </c>
      <c r="J13" s="117">
        <f>Bodování!P20</f>
        <v>0</v>
      </c>
      <c r="K13" s="122">
        <f>Bodování!R20</f>
        <v>52</v>
      </c>
      <c r="L13" s="124">
        <f t="shared" si="0"/>
        <v>7</v>
      </c>
    </row>
    <row r="14" spans="1:12" ht="12.75">
      <c r="A14" s="204"/>
      <c r="B14" s="213" t="str">
        <f>Bodování!C17</f>
        <v>Zedník Vojtěch</v>
      </c>
      <c r="C14" s="121" t="str">
        <f>Bodování!$C$12</f>
        <v>ZŠ Komenského 2, Žďár n. S.</v>
      </c>
      <c r="D14" s="126">
        <f>Bodování!F17</f>
        <v>1416</v>
      </c>
      <c r="E14" s="122">
        <f>Bodování!H17</f>
        <v>8.1</v>
      </c>
      <c r="F14" s="116">
        <f>Bodování!J17</f>
        <v>2</v>
      </c>
      <c r="G14" s="206" t="s">
        <v>25</v>
      </c>
      <c r="H14" s="207">
        <f>Bodování!L17</f>
        <v>37.48</v>
      </c>
      <c r="I14" s="117">
        <f>Bodování!N17</f>
        <v>0</v>
      </c>
      <c r="J14" s="117">
        <f>Bodování!P17</f>
        <v>453</v>
      </c>
      <c r="K14" s="122">
        <f>Bodování!R17</f>
        <v>42</v>
      </c>
      <c r="L14" s="124">
        <f t="shared" si="0"/>
        <v>8</v>
      </c>
    </row>
    <row r="15" spans="1:12" ht="12.75">
      <c r="A15" s="204"/>
      <c r="B15" s="213" t="str">
        <f>Bodování!C15</f>
        <v>Lacina Jakub</v>
      </c>
      <c r="C15" s="121" t="str">
        <f>Bodování!$C$12</f>
        <v>ZŠ Komenského 2, Žďár n. S.</v>
      </c>
      <c r="D15" s="126">
        <f>Bodování!F15</f>
        <v>1403</v>
      </c>
      <c r="E15" s="122">
        <f>Bodování!H15</f>
        <v>8.9</v>
      </c>
      <c r="F15" s="116">
        <f>Bodování!J15</f>
        <v>2</v>
      </c>
      <c r="G15" s="206" t="s">
        <v>25</v>
      </c>
      <c r="H15" s="207">
        <f>Bodování!L15</f>
        <v>33.82</v>
      </c>
      <c r="I15" s="117">
        <f>Bodování!N15</f>
        <v>0</v>
      </c>
      <c r="J15" s="117">
        <f>Bodování!P15</f>
        <v>475</v>
      </c>
      <c r="K15" s="122">
        <f>Bodování!R15</f>
        <v>54</v>
      </c>
      <c r="L15" s="124">
        <f t="shared" si="0"/>
        <v>9</v>
      </c>
    </row>
    <row r="16" spans="1:12" ht="12.75">
      <c r="A16" s="204"/>
      <c r="B16" s="121" t="str">
        <f>Bodování!C43</f>
        <v>Sláma Daniel</v>
      </c>
      <c r="C16" s="121" t="str">
        <f>Bodování!$C$40</f>
        <v>ZŠ Velká Bíteš</v>
      </c>
      <c r="D16" s="126">
        <f>Bodování!F43</f>
        <v>1398</v>
      </c>
      <c r="E16" s="122">
        <f>Bodování!H43</f>
        <v>8.1</v>
      </c>
      <c r="F16" s="116">
        <f>Bodování!J43</f>
        <v>2</v>
      </c>
      <c r="G16" s="206" t="s">
        <v>25</v>
      </c>
      <c r="H16" s="207">
        <f>Bodování!L43</f>
        <v>37.98</v>
      </c>
      <c r="I16" s="117">
        <f>Bodování!N43</f>
        <v>0</v>
      </c>
      <c r="J16" s="117">
        <f>Bodování!P43</f>
        <v>443</v>
      </c>
      <c r="K16" s="122">
        <f>Bodování!R43</f>
        <v>42.5</v>
      </c>
      <c r="L16" s="124">
        <f t="shared" si="0"/>
        <v>10</v>
      </c>
    </row>
    <row r="17" spans="1:12" ht="12.75">
      <c r="A17" s="204"/>
      <c r="B17" s="121" t="str">
        <f>Bodování!C56</f>
        <v>Trojan Jakub</v>
      </c>
      <c r="C17" s="121" t="str">
        <f>Bodování!$C$54</f>
        <v>ZŠ Švermova Žďár n. S.</v>
      </c>
      <c r="D17" s="126">
        <f>Bodování!F56</f>
        <v>1390</v>
      </c>
      <c r="E17" s="122">
        <f>Bodování!H56</f>
        <v>8.5</v>
      </c>
      <c r="F17" s="116">
        <f>Bodování!J56</f>
        <v>2</v>
      </c>
      <c r="G17" s="206" t="s">
        <v>25</v>
      </c>
      <c r="H17" s="207">
        <f>Bodování!L56</f>
        <v>31.7</v>
      </c>
      <c r="I17" s="117">
        <f>Bodování!N56</f>
        <v>145</v>
      </c>
      <c r="J17" s="117">
        <f>Bodování!P56</f>
        <v>0</v>
      </c>
      <c r="K17" s="122">
        <f>Bodování!R56</f>
        <v>37</v>
      </c>
      <c r="L17" s="124">
        <f t="shared" si="0"/>
        <v>11</v>
      </c>
    </row>
    <row r="18" spans="1:12" ht="12.75">
      <c r="A18" s="204"/>
      <c r="B18" s="121" t="str">
        <f>Bodování!C72</f>
        <v>Zeman Stanislav</v>
      </c>
      <c r="C18" s="121" t="str">
        <f>Bodování!$C$68</f>
        <v>ZŠ T.G.M. Bystřice n. P.</v>
      </c>
      <c r="D18" s="126">
        <f>Bodování!F72</f>
        <v>1389</v>
      </c>
      <c r="E18" s="122">
        <f>Bodování!H72</f>
        <v>8.3</v>
      </c>
      <c r="F18" s="116">
        <f>Bodování!J72</f>
        <v>2</v>
      </c>
      <c r="G18" s="206" t="s">
        <v>25</v>
      </c>
      <c r="H18" s="207">
        <f>Bodování!L72</f>
        <v>36.82</v>
      </c>
      <c r="I18" s="117">
        <f>Bodování!N72</f>
        <v>0</v>
      </c>
      <c r="J18" s="117">
        <f>Bodování!P72</f>
        <v>365</v>
      </c>
      <c r="K18" s="122">
        <f>Bodování!R72</f>
        <v>61</v>
      </c>
      <c r="L18" s="124">
        <f t="shared" si="0"/>
        <v>12</v>
      </c>
    </row>
    <row r="19" spans="1:12" ht="12.75">
      <c r="A19" s="204"/>
      <c r="B19" s="121" t="str">
        <f>Bodování!C73</f>
        <v>Kobza Michal</v>
      </c>
      <c r="C19" s="121" t="str">
        <f>Bodování!$C$68</f>
        <v>ZŠ T.G.M. Bystřice n. P.</v>
      </c>
      <c r="D19" s="126">
        <f>Bodování!F73</f>
        <v>1376</v>
      </c>
      <c r="E19" s="122">
        <f>Bodování!H73</f>
        <v>8.3</v>
      </c>
      <c r="F19" s="116">
        <f>Bodování!J73</f>
        <v>2</v>
      </c>
      <c r="G19" s="206" t="s">
        <v>25</v>
      </c>
      <c r="H19" s="207">
        <f>Bodování!L73</f>
        <v>48.26</v>
      </c>
      <c r="I19" s="117">
        <f>Bodování!N73</f>
        <v>0</v>
      </c>
      <c r="J19" s="117">
        <f>Bodování!P73</f>
        <v>450</v>
      </c>
      <c r="K19" s="122">
        <f>Bodování!R73</f>
        <v>56</v>
      </c>
      <c r="L19" s="124">
        <f t="shared" si="0"/>
        <v>13</v>
      </c>
    </row>
    <row r="20" spans="1:12" ht="12.75">
      <c r="A20" s="204"/>
      <c r="B20" s="121" t="str">
        <f>Bodování!C84</f>
        <v>Krejčí Adam</v>
      </c>
      <c r="C20" s="121" t="str">
        <f>Bodování!$C$82</f>
        <v>Gymnázium Žďár n. S.</v>
      </c>
      <c r="D20" s="126">
        <f>Bodování!F84</f>
        <v>1297</v>
      </c>
      <c r="E20" s="122">
        <f>Bodování!H84</f>
        <v>8.6</v>
      </c>
      <c r="F20" s="116">
        <f>Bodování!J84</f>
        <v>2</v>
      </c>
      <c r="G20" s="206" t="s">
        <v>25</v>
      </c>
      <c r="H20" s="207">
        <f>Bodování!L84</f>
        <v>35.64</v>
      </c>
      <c r="I20" s="117">
        <f>Bodování!N84</f>
        <v>135</v>
      </c>
      <c r="J20" s="117">
        <f>Bodování!P84</f>
        <v>0</v>
      </c>
      <c r="K20" s="122">
        <f>Bodování!R84</f>
        <v>42</v>
      </c>
      <c r="L20" s="124">
        <f t="shared" si="0"/>
        <v>14</v>
      </c>
    </row>
    <row r="21" spans="1:12" ht="12.75">
      <c r="A21" s="204"/>
      <c r="B21" s="121" t="str">
        <f>Bodování!C36</f>
        <v>Rohovský Vít</v>
      </c>
      <c r="C21" s="121" t="str">
        <f>Bodování!$C$33</f>
        <v>ZŠ Měřín</v>
      </c>
      <c r="D21" s="126">
        <f>Bodování!F36</f>
        <v>1282</v>
      </c>
      <c r="E21" s="122">
        <f>Bodování!H36</f>
        <v>8.6</v>
      </c>
      <c r="F21" s="116">
        <f>Bodování!J36</f>
        <v>2</v>
      </c>
      <c r="G21" s="206" t="s">
        <v>25</v>
      </c>
      <c r="H21" s="207">
        <f>Bodování!L36</f>
        <v>44.16</v>
      </c>
      <c r="I21" s="117">
        <f>Bodování!N36</f>
        <v>140</v>
      </c>
      <c r="J21" s="117">
        <f>Bodování!P36</f>
        <v>0</v>
      </c>
      <c r="K21" s="122">
        <f>Bodování!R36</f>
        <v>46</v>
      </c>
      <c r="L21" s="124">
        <f t="shared" si="0"/>
        <v>15</v>
      </c>
    </row>
    <row r="22" spans="1:12" ht="12.75">
      <c r="A22" s="204"/>
      <c r="B22" s="121" t="str">
        <f>Bodování!C44</f>
        <v>Kment Vojtěch</v>
      </c>
      <c r="C22" s="121" t="str">
        <f>Bodování!$C$40</f>
        <v>ZŠ Velká Bíteš</v>
      </c>
      <c r="D22" s="126">
        <f>Bodování!F44</f>
        <v>1266</v>
      </c>
      <c r="E22" s="122">
        <f>Bodování!H44</f>
        <v>8.2</v>
      </c>
      <c r="F22" s="116">
        <f>Bodování!J44</f>
        <v>2</v>
      </c>
      <c r="G22" s="206" t="s">
        <v>25</v>
      </c>
      <c r="H22" s="207">
        <f>Bodování!L44</f>
        <v>43.82</v>
      </c>
      <c r="I22" s="117">
        <f>Bodování!N44</f>
        <v>0</v>
      </c>
      <c r="J22" s="117">
        <f>Bodování!P44</f>
        <v>440</v>
      </c>
      <c r="K22" s="122">
        <f>Bodování!R44</f>
        <v>37</v>
      </c>
      <c r="L22" s="124">
        <f t="shared" si="0"/>
        <v>16</v>
      </c>
    </row>
    <row r="23" spans="1:12" ht="12.75">
      <c r="A23" s="204"/>
      <c r="B23" s="121" t="str">
        <f>Bodování!C62</f>
        <v>Hugo Michal</v>
      </c>
      <c r="C23" s="121" t="str">
        <f>Bodování!$C$61</f>
        <v>ZŠ Oslavická V. Meziříčí</v>
      </c>
      <c r="D23" s="126">
        <f>Bodování!F62</f>
        <v>1243</v>
      </c>
      <c r="E23" s="122">
        <f>Bodování!H62</f>
        <v>8.2</v>
      </c>
      <c r="F23" s="116">
        <f>Bodování!J62</f>
        <v>2</v>
      </c>
      <c r="G23" s="206" t="s">
        <v>25</v>
      </c>
      <c r="H23" s="207">
        <f>Bodování!L62</f>
        <v>49.48</v>
      </c>
      <c r="I23" s="117">
        <f>Bodování!N62</f>
        <v>140</v>
      </c>
      <c r="J23" s="117">
        <f>Bodování!P62</f>
        <v>0</v>
      </c>
      <c r="K23" s="122">
        <f>Bodování!R62</f>
        <v>35</v>
      </c>
      <c r="L23" s="124">
        <f t="shared" si="0"/>
        <v>17</v>
      </c>
    </row>
    <row r="24" spans="1:12" ht="12.75">
      <c r="A24" s="204"/>
      <c r="B24" s="121" t="str">
        <f>Bodování!C63</f>
        <v>Čermák Jiří</v>
      </c>
      <c r="C24" s="121" t="str">
        <f>Bodování!$C$61</f>
        <v>ZŠ Oslavická V. Meziříčí</v>
      </c>
      <c r="D24" s="126">
        <f>Bodování!F63</f>
        <v>1219</v>
      </c>
      <c r="E24" s="122">
        <f>Bodování!H63</f>
        <v>8.7</v>
      </c>
      <c r="F24" s="116">
        <f>Bodování!J63</f>
        <v>2</v>
      </c>
      <c r="G24" s="206" t="s">
        <v>25</v>
      </c>
      <c r="H24" s="207">
        <f>Bodování!L63</f>
        <v>41.41</v>
      </c>
      <c r="I24" s="117">
        <f>Bodování!N63</f>
        <v>135</v>
      </c>
      <c r="J24" s="117">
        <f>Bodování!P63</f>
        <v>0</v>
      </c>
      <c r="K24" s="122">
        <f>Bodování!R63</f>
        <v>42</v>
      </c>
      <c r="L24" s="124">
        <f t="shared" si="0"/>
        <v>18</v>
      </c>
    </row>
    <row r="25" spans="1:12" ht="12.75">
      <c r="A25" s="204"/>
      <c r="B25" s="121" t="str">
        <f>Bodování!C27</f>
        <v>Špaček Matouš</v>
      </c>
      <c r="C25" s="121" t="str">
        <f>Bodování!$C$26</f>
        <v>Gymnázium Velké Meziříčí</v>
      </c>
      <c r="D25" s="126">
        <f>Bodování!F27</f>
        <v>1218</v>
      </c>
      <c r="E25" s="122">
        <f>Bodování!H27</f>
        <v>8.4</v>
      </c>
      <c r="F25" s="116">
        <f>Bodování!J27</f>
        <v>2</v>
      </c>
      <c r="G25" s="206" t="s">
        <v>25</v>
      </c>
      <c r="H25" s="207">
        <f>Bodování!L27</f>
        <v>54.13</v>
      </c>
      <c r="I25" s="117">
        <f>Bodování!N27</f>
        <v>135</v>
      </c>
      <c r="J25" s="117">
        <f>Bodování!P27</f>
        <v>0</v>
      </c>
      <c r="K25" s="122">
        <f>Bodování!R27</f>
        <v>47</v>
      </c>
      <c r="L25" s="124">
        <f t="shared" si="0"/>
        <v>19</v>
      </c>
    </row>
    <row r="26" spans="1:12" ht="12.75">
      <c r="A26" s="204"/>
      <c r="B26" s="121" t="str">
        <f>Bodování!C78</f>
        <v>Kutil Dušan</v>
      </c>
      <c r="C26" s="121" t="str">
        <f>Bodování!$C$75</f>
        <v>ZŠ Sokolovská Velké Meziříčí</v>
      </c>
      <c r="D26" s="126">
        <f>Bodování!F78</f>
        <v>1193</v>
      </c>
      <c r="E26" s="122">
        <f>Bodování!H78</f>
        <v>8.9</v>
      </c>
      <c r="F26" s="116">
        <f>Bodování!J78</f>
        <v>2</v>
      </c>
      <c r="G26" s="206" t="s">
        <v>25</v>
      </c>
      <c r="H26" s="207">
        <f>Bodování!L78</f>
        <v>34.09</v>
      </c>
      <c r="I26" s="117">
        <f>Bodování!N78</f>
        <v>0</v>
      </c>
      <c r="J26" s="117">
        <f>Bodování!P78</f>
        <v>422</v>
      </c>
      <c r="K26" s="122">
        <f>Bodování!R78</f>
        <v>40.5</v>
      </c>
      <c r="L26" s="124">
        <f t="shared" si="0"/>
        <v>20</v>
      </c>
    </row>
    <row r="27" spans="1:12" ht="12.75">
      <c r="A27" s="204"/>
      <c r="B27" s="121" t="str">
        <f>Bodování!C34</f>
        <v>Dobejval Lukáš</v>
      </c>
      <c r="C27" s="121" t="str">
        <f>Bodování!$C$33</f>
        <v>ZŠ Měřín</v>
      </c>
      <c r="D27" s="126">
        <f>Bodování!F34</f>
        <v>1188</v>
      </c>
      <c r="E27" s="122">
        <f>Bodování!H34</f>
        <v>9.1</v>
      </c>
      <c r="F27" s="116">
        <f>Bodování!J34</f>
        <v>2</v>
      </c>
      <c r="G27" s="206" t="s">
        <v>25</v>
      </c>
      <c r="H27" s="207">
        <f>Bodování!L34</f>
        <v>44.57</v>
      </c>
      <c r="I27" s="117">
        <f>Bodování!N34</f>
        <v>135</v>
      </c>
      <c r="J27" s="117">
        <f>Bodování!P34</f>
        <v>0</v>
      </c>
      <c r="K27" s="122">
        <f>Bodování!R34</f>
        <v>52</v>
      </c>
      <c r="L27" s="124">
        <f t="shared" si="0"/>
        <v>21</v>
      </c>
    </row>
    <row r="28" spans="1:12" ht="12.75">
      <c r="A28" s="204"/>
      <c r="B28" s="121" t="str">
        <f>Bodování!C66</f>
        <v>Valenta Jaroslav</v>
      </c>
      <c r="C28" s="121" t="str">
        <f>Bodování!$C$61</f>
        <v>ZŠ Oslavická V. Meziříčí</v>
      </c>
      <c r="D28" s="126">
        <f>Bodování!F66</f>
        <v>1171</v>
      </c>
      <c r="E28" s="122">
        <f>Bodování!H66</f>
        <v>8.3</v>
      </c>
      <c r="F28" s="116">
        <f>Bodování!J66</f>
        <v>2</v>
      </c>
      <c r="G28" s="206" t="s">
        <v>25</v>
      </c>
      <c r="H28" s="207">
        <f>Bodování!L66</f>
        <v>46.11</v>
      </c>
      <c r="I28" s="117">
        <f>Bodování!N66</f>
        <v>0</v>
      </c>
      <c r="J28" s="117">
        <f>Bodování!P66</f>
        <v>426</v>
      </c>
      <c r="K28" s="122">
        <f>Bodování!R66</f>
        <v>34</v>
      </c>
      <c r="L28" s="124">
        <f t="shared" si="0"/>
        <v>22</v>
      </c>
    </row>
    <row r="29" spans="1:12" ht="12.75">
      <c r="A29" s="204"/>
      <c r="B29" s="121" t="str">
        <f>Bodování!C58</f>
        <v>Dvořák Josef</v>
      </c>
      <c r="C29" s="121" t="str">
        <f>Bodování!$C$54</f>
        <v>ZŠ Švermova Žďár n. S.</v>
      </c>
      <c r="D29" s="126">
        <f>Bodování!F58</f>
        <v>1163</v>
      </c>
      <c r="E29" s="122">
        <f>Bodování!H58</f>
        <v>8.5</v>
      </c>
      <c r="F29" s="116">
        <f>Bodování!J58</f>
        <v>2</v>
      </c>
      <c r="G29" s="206" t="s">
        <v>25</v>
      </c>
      <c r="H29" s="207">
        <f>Bodování!L58</f>
        <v>43.54</v>
      </c>
      <c r="I29" s="117">
        <f>Bodování!N58</f>
        <v>0</v>
      </c>
      <c r="J29" s="117">
        <f>Bodování!P58</f>
        <v>376</v>
      </c>
      <c r="K29" s="122">
        <f>Bodování!R58</f>
        <v>46</v>
      </c>
      <c r="L29" s="124">
        <f t="shared" si="0"/>
        <v>23</v>
      </c>
    </row>
    <row r="30" spans="1:12" ht="12.75">
      <c r="A30" s="204"/>
      <c r="B30" s="121" t="str">
        <f>Bodování!C51</f>
        <v>Stejskal Josef</v>
      </c>
      <c r="C30" s="121" t="str">
        <f>Bodování!$C$47</f>
        <v>ZŠ Nádražní Bysřice n. P.</v>
      </c>
      <c r="D30" s="126">
        <f>Bodování!F51</f>
        <v>1157</v>
      </c>
      <c r="E30" s="122">
        <f>Bodování!H51</f>
        <v>8.6</v>
      </c>
      <c r="F30" s="116">
        <f>Bodování!J51</f>
        <v>2</v>
      </c>
      <c r="G30" s="206" t="s">
        <v>25</v>
      </c>
      <c r="H30" s="207">
        <f>Bodování!L51</f>
        <v>41.16</v>
      </c>
      <c r="I30" s="117">
        <f>Bodování!N51</f>
        <v>0</v>
      </c>
      <c r="J30" s="117">
        <f>Bodování!P51</f>
        <v>368</v>
      </c>
      <c r="K30" s="122">
        <f>Bodování!R51</f>
        <v>47</v>
      </c>
      <c r="L30" s="124">
        <f t="shared" si="0"/>
        <v>24</v>
      </c>
    </row>
    <row r="31" spans="1:12" ht="12.75">
      <c r="A31" s="204"/>
      <c r="B31" s="121" t="str">
        <f>Bodování!C85</f>
        <v>Bouček Matěj</v>
      </c>
      <c r="C31" s="121" t="str">
        <f>Bodování!$C$82</f>
        <v>Gymnázium Žďár n. S.</v>
      </c>
      <c r="D31" s="126">
        <f>Bodování!F85</f>
        <v>1148</v>
      </c>
      <c r="E31" s="122">
        <f>Bodování!H85</f>
        <v>8.9</v>
      </c>
      <c r="F31" s="116">
        <f>Bodování!J85</f>
        <v>2</v>
      </c>
      <c r="G31" s="206" t="s">
        <v>25</v>
      </c>
      <c r="H31" s="207">
        <f>Bodování!L85</f>
        <v>37.67</v>
      </c>
      <c r="I31" s="117">
        <f>Bodování!N85</f>
        <v>0</v>
      </c>
      <c r="J31" s="117">
        <f>Bodování!P85</f>
        <v>404</v>
      </c>
      <c r="K31" s="122">
        <f>Bodování!R85</f>
        <v>43</v>
      </c>
      <c r="L31" s="124">
        <f t="shared" si="0"/>
        <v>25</v>
      </c>
    </row>
    <row r="32" spans="1:12" ht="12.75">
      <c r="A32" s="204"/>
      <c r="B32" s="121" t="str">
        <f>Bodování!C21</f>
        <v>Novák Jan</v>
      </c>
      <c r="C32" s="121" t="str">
        <f>Bodování!$C$19</f>
        <v>ŽŠ Školní Velké Meziříčí</v>
      </c>
      <c r="D32" s="126">
        <f>Bodování!F21</f>
        <v>1146</v>
      </c>
      <c r="E32" s="122">
        <f>Bodování!H21</f>
        <v>8.1</v>
      </c>
      <c r="F32" s="116">
        <f>Bodování!J21</f>
        <v>2</v>
      </c>
      <c r="G32" s="206" t="s">
        <v>25</v>
      </c>
      <c r="H32" s="207">
        <f>Bodování!L21</f>
        <v>55.36</v>
      </c>
      <c r="I32" s="117">
        <f>Bodování!N21</f>
        <v>135</v>
      </c>
      <c r="J32" s="117">
        <f>Bodování!P21</f>
        <v>0</v>
      </c>
      <c r="K32" s="122">
        <f>Bodování!R21</f>
        <v>30</v>
      </c>
      <c r="L32" s="124">
        <f t="shared" si="0"/>
        <v>26</v>
      </c>
    </row>
    <row r="33" spans="1:12" ht="12.75">
      <c r="A33" s="204"/>
      <c r="B33" s="121" t="str">
        <f>Bodování!C42</f>
        <v>Uherka Michal</v>
      </c>
      <c r="C33" s="121" t="str">
        <f>Bodování!$C$40</f>
        <v>ZŠ Velká Bíteš</v>
      </c>
      <c r="D33" s="126">
        <f>Bodování!F42</f>
        <v>1146</v>
      </c>
      <c r="E33" s="122">
        <f>Bodování!H42</f>
        <v>8.4</v>
      </c>
      <c r="F33" s="116">
        <f>Bodování!J42</f>
        <v>2</v>
      </c>
      <c r="G33" s="206" t="s">
        <v>25</v>
      </c>
      <c r="H33" s="207">
        <f>Bodování!L42</f>
        <v>55.92</v>
      </c>
      <c r="I33" s="117">
        <f>Bodování!N42</f>
        <v>135</v>
      </c>
      <c r="J33" s="117">
        <f>Bodování!P42</f>
        <v>0</v>
      </c>
      <c r="K33" s="122">
        <f>Bodování!R42</f>
        <v>40</v>
      </c>
      <c r="L33" s="124">
        <f t="shared" si="0"/>
        <v>26</v>
      </c>
    </row>
    <row r="34" spans="1:12" ht="12.75">
      <c r="A34" s="204"/>
      <c r="B34" s="121" t="str">
        <f>Bodování!C55</f>
        <v>Kamarád Václav</v>
      </c>
      <c r="C34" s="121" t="str">
        <f>Bodování!$C$54</f>
        <v>ZŠ Švermova Žďár n. S.</v>
      </c>
      <c r="D34" s="126">
        <f>Bodování!F55</f>
        <v>1133</v>
      </c>
      <c r="E34" s="122">
        <f>Bodování!H55</f>
        <v>8.5</v>
      </c>
      <c r="F34" s="116">
        <f>Bodování!J55</f>
        <v>2</v>
      </c>
      <c r="G34" s="206" t="s">
        <v>25</v>
      </c>
      <c r="H34" s="207">
        <f>Bodování!L55</f>
        <v>46.82</v>
      </c>
      <c r="I34" s="117">
        <f>Bodování!N55</f>
        <v>135</v>
      </c>
      <c r="J34" s="117">
        <f>Bodování!P55</f>
        <v>0</v>
      </c>
      <c r="K34" s="122">
        <f>Bodování!R55</f>
        <v>32</v>
      </c>
      <c r="L34" s="124">
        <f t="shared" si="0"/>
        <v>28</v>
      </c>
    </row>
    <row r="35" spans="1:12" ht="12.75">
      <c r="A35" s="204"/>
      <c r="B35" s="118" t="str">
        <f>Bodování!C7</f>
        <v>Smolík Petr</v>
      </c>
      <c r="C35" s="119" t="str">
        <f>Bodování!$C$5</f>
        <v>Gymnázium Bystřice n. P.</v>
      </c>
      <c r="D35" s="125">
        <f>Bodování!F7</f>
        <v>1131</v>
      </c>
      <c r="E35" s="120">
        <f>Bodování!H7</f>
        <v>8.7</v>
      </c>
      <c r="F35" s="208">
        <f>Bodování!J7</f>
        <v>2</v>
      </c>
      <c r="G35" s="206" t="s">
        <v>25</v>
      </c>
      <c r="H35" s="209">
        <f>Bodování!L7</f>
        <v>55.64</v>
      </c>
      <c r="I35" s="123">
        <f>Bodování!N7</f>
        <v>145</v>
      </c>
      <c r="J35" s="123">
        <f>Bodování!P7</f>
        <v>0</v>
      </c>
      <c r="K35" s="120">
        <f>Bodování!R7</f>
        <v>38</v>
      </c>
      <c r="L35" s="124">
        <f t="shared" si="0"/>
        <v>29</v>
      </c>
    </row>
    <row r="36" spans="1:12" ht="12.75">
      <c r="A36" s="204"/>
      <c r="B36" s="121" t="str">
        <f>Bodování!C48</f>
        <v>Prášil Radim</v>
      </c>
      <c r="C36" s="121" t="str">
        <f>Bodování!$C$47</f>
        <v>ZŠ Nádražní Bysřice n. P.</v>
      </c>
      <c r="D36" s="126">
        <f>Bodování!F48</f>
        <v>1100</v>
      </c>
      <c r="E36" s="122">
        <f>Bodování!H48</f>
        <v>8.7</v>
      </c>
      <c r="F36" s="116">
        <f>Bodování!J48</f>
        <v>2</v>
      </c>
      <c r="G36" s="206" t="s">
        <v>25</v>
      </c>
      <c r="H36" s="207">
        <f>Bodování!L48</f>
        <v>39.29</v>
      </c>
      <c r="I36" s="117">
        <f>Bodování!N48</f>
        <v>125</v>
      </c>
      <c r="J36" s="117">
        <f>Bodování!P48</f>
        <v>0</v>
      </c>
      <c r="K36" s="122">
        <f>Bodování!R48</f>
        <v>33</v>
      </c>
      <c r="L36" s="124">
        <f t="shared" si="0"/>
        <v>30</v>
      </c>
    </row>
    <row r="37" spans="1:12" ht="12.75">
      <c r="A37" s="204"/>
      <c r="B37" s="121" t="str">
        <f>Bodování!C71</f>
        <v>Vařejka Karel</v>
      </c>
      <c r="C37" s="121" t="str">
        <f>Bodování!$C$68</f>
        <v>ZŠ T.G.M. Bystřice n. P.</v>
      </c>
      <c r="D37" s="126">
        <f>Bodování!F71</f>
        <v>1100</v>
      </c>
      <c r="E37" s="122">
        <f>Bodování!H71</f>
        <v>8.3</v>
      </c>
      <c r="F37" s="116">
        <f>Bodování!J71</f>
        <v>2</v>
      </c>
      <c r="G37" s="206" t="s">
        <v>25</v>
      </c>
      <c r="H37" s="207">
        <f>Bodování!L71</f>
        <v>55.29</v>
      </c>
      <c r="I37" s="117">
        <f>Bodování!N71</f>
        <v>0</v>
      </c>
      <c r="J37" s="117">
        <f>Bodování!P71</f>
        <v>442</v>
      </c>
      <c r="K37" s="122">
        <f>Bodování!R71</f>
        <v>31.5</v>
      </c>
      <c r="L37" s="124">
        <f t="shared" si="0"/>
        <v>30</v>
      </c>
    </row>
    <row r="38" spans="1:12" ht="12.75">
      <c r="A38" s="204"/>
      <c r="B38" s="121" t="str">
        <f>Bodování!C24</f>
        <v>Jonáš Radek</v>
      </c>
      <c r="C38" s="121" t="str">
        <f>Bodování!$C$19</f>
        <v>ŽŠ Školní Velké Meziříčí</v>
      </c>
      <c r="D38" s="126">
        <f>Bodování!F24</f>
        <v>1067</v>
      </c>
      <c r="E38" s="122">
        <f>Bodování!H24</f>
        <v>8.9</v>
      </c>
      <c r="F38" s="116">
        <f>Bodování!J24</f>
        <v>3</v>
      </c>
      <c r="G38" s="206" t="s">
        <v>25</v>
      </c>
      <c r="H38" s="207">
        <f>Bodování!L24</f>
        <v>0.73</v>
      </c>
      <c r="I38" s="117">
        <f>Bodování!N24</f>
        <v>0</v>
      </c>
      <c r="J38" s="117">
        <f>Bodování!P24</f>
        <v>454</v>
      </c>
      <c r="K38" s="122">
        <f>Bodování!R24</f>
        <v>47</v>
      </c>
      <c r="L38" s="124">
        <f t="shared" si="0"/>
        <v>32</v>
      </c>
    </row>
    <row r="39" spans="1:12" ht="12.75">
      <c r="A39" s="204"/>
      <c r="B39" s="121" t="str">
        <f>Bodování!C64</f>
        <v>Tůma Tomáš</v>
      </c>
      <c r="C39" s="121" t="str">
        <f>Bodování!$C$61</f>
        <v>ZŠ Oslavická V. Meziříčí</v>
      </c>
      <c r="D39" s="126">
        <f>Bodování!F64</f>
        <v>1058</v>
      </c>
      <c r="E39" s="122">
        <f>Bodování!H64</f>
        <v>8.5</v>
      </c>
      <c r="F39" s="116">
        <f>Bodování!J64</f>
        <v>2</v>
      </c>
      <c r="G39" s="206" t="s">
        <v>25</v>
      </c>
      <c r="H39" s="207">
        <f>Bodování!L64</f>
        <v>54.51</v>
      </c>
      <c r="I39" s="117">
        <f>Bodování!N64</f>
        <v>0</v>
      </c>
      <c r="J39" s="117">
        <f>Bodování!P64</f>
        <v>393</v>
      </c>
      <c r="K39" s="122">
        <f>Bodování!R64</f>
        <v>41.5</v>
      </c>
      <c r="L39" s="124">
        <f aca="true" t="shared" si="1" ref="L39:L70">IF(D39=0,"NEV",(RANK(D39,$D$7:$D$81)))</f>
        <v>33</v>
      </c>
    </row>
    <row r="40" spans="1:12" ht="12.75">
      <c r="A40" s="204"/>
      <c r="B40" s="121" t="str">
        <f>Bodování!C70</f>
        <v>Vařejka Jan</v>
      </c>
      <c r="C40" s="121" t="str">
        <f>Bodování!$C$68</f>
        <v>ZŠ T.G.M. Bystřice n. P.</v>
      </c>
      <c r="D40" s="126">
        <f>Bodování!F70</f>
        <v>1045</v>
      </c>
      <c r="E40" s="122">
        <f>Bodování!H70</f>
        <v>8.3</v>
      </c>
      <c r="F40" s="116">
        <f>Bodování!J70</f>
        <v>2</v>
      </c>
      <c r="G40" s="206" t="s">
        <v>25</v>
      </c>
      <c r="H40" s="207">
        <f>Bodování!L70</f>
        <v>48.89</v>
      </c>
      <c r="I40" s="117">
        <f>Bodování!N70</f>
        <v>120</v>
      </c>
      <c r="J40" s="117">
        <f>Bodování!P70</f>
        <v>0</v>
      </c>
      <c r="K40" s="122">
        <f>Bodování!R70</f>
        <v>29</v>
      </c>
      <c r="L40" s="124">
        <f t="shared" si="1"/>
        <v>34</v>
      </c>
    </row>
    <row r="41" spans="1:12" ht="12.75">
      <c r="A41" s="204"/>
      <c r="B41" s="175" t="str">
        <f>Bodování!C93</f>
        <v>Lempera Radim</v>
      </c>
      <c r="C41" s="175" t="str">
        <f>Bodování!$C$89</f>
        <v>1. ZŠ Nové Město na Moravě</v>
      </c>
      <c r="D41" s="126">
        <f>Bodování!F93</f>
        <v>1041</v>
      </c>
      <c r="E41" s="176">
        <f>Bodování!H93</f>
        <v>8.4</v>
      </c>
      <c r="F41" s="210">
        <f>Bodování!J93</f>
        <v>2</v>
      </c>
      <c r="G41" s="211" t="s">
        <v>25</v>
      </c>
      <c r="H41" s="212">
        <f>Bodování!L93</f>
        <v>47.57</v>
      </c>
      <c r="I41" s="177">
        <f>Bodování!N93</f>
        <v>0</v>
      </c>
      <c r="J41" s="177">
        <f>Bodování!P93</f>
        <v>363</v>
      </c>
      <c r="K41" s="178">
        <f>Bodování!R93</f>
        <v>35</v>
      </c>
      <c r="L41" s="124">
        <f t="shared" si="1"/>
        <v>35</v>
      </c>
    </row>
    <row r="42" spans="1:12" ht="12.75">
      <c r="A42" s="204"/>
      <c r="B42" s="121" t="str">
        <f>Bodování!C45</f>
        <v>Komrska Karel</v>
      </c>
      <c r="C42" s="121" t="str">
        <f>Bodování!$C$40</f>
        <v>ZŠ Velká Bíteš</v>
      </c>
      <c r="D42" s="126">
        <f>Bodování!F45</f>
        <v>1040</v>
      </c>
      <c r="E42" s="122">
        <f>Bodování!H45</f>
        <v>8.2</v>
      </c>
      <c r="F42" s="116">
        <f>Bodování!J45</f>
        <v>2</v>
      </c>
      <c r="G42" s="206" t="s">
        <v>25</v>
      </c>
      <c r="H42" s="207">
        <f>Bodování!L45</f>
        <v>59.54</v>
      </c>
      <c r="I42" s="117">
        <f>Bodování!N45</f>
        <v>0</v>
      </c>
      <c r="J42" s="117">
        <f>Bodování!P45</f>
        <v>401</v>
      </c>
      <c r="K42" s="122">
        <f>Bodování!R45</f>
        <v>33.5</v>
      </c>
      <c r="L42" s="124">
        <f t="shared" si="1"/>
        <v>36</v>
      </c>
    </row>
    <row r="43" spans="1:12" ht="12.75">
      <c r="A43" s="204"/>
      <c r="B43" s="121" t="str">
        <f>Bodování!C83</f>
        <v>Kunc Martin</v>
      </c>
      <c r="C43" s="121" t="str">
        <f>Bodování!$C$82</f>
        <v>Gymnázium Žďár n. S.</v>
      </c>
      <c r="D43" s="126">
        <f>Bodování!F83</f>
        <v>1028</v>
      </c>
      <c r="E43" s="122">
        <f>Bodování!H83</f>
        <v>8.8</v>
      </c>
      <c r="F43" s="116">
        <f>Bodování!J83</f>
        <v>2</v>
      </c>
      <c r="G43" s="206" t="s">
        <v>25</v>
      </c>
      <c r="H43" s="207">
        <f>Bodování!L83</f>
        <v>43.39</v>
      </c>
      <c r="I43" s="117">
        <f>Bodování!N83</f>
        <v>120</v>
      </c>
      <c r="J43" s="117">
        <f>Bodování!P83</f>
        <v>0</v>
      </c>
      <c r="K43" s="122">
        <f>Bodování!R83</f>
        <v>35.5</v>
      </c>
      <c r="L43" s="124">
        <f t="shared" si="1"/>
        <v>37</v>
      </c>
    </row>
    <row r="44" spans="1:12" ht="12.75">
      <c r="A44" s="204"/>
      <c r="B44" s="121" t="str">
        <f>Bodování!C59</f>
        <v>Vavroušek David</v>
      </c>
      <c r="C44" s="121" t="str">
        <f>Bodování!$C$54</f>
        <v>ZŠ Švermova Žďár n. S.</v>
      </c>
      <c r="D44" s="126">
        <f>Bodování!F59</f>
        <v>1026</v>
      </c>
      <c r="E44" s="122">
        <f>Bodování!H59</f>
        <v>9</v>
      </c>
      <c r="F44" s="116">
        <f>Bodování!J59</f>
        <v>2</v>
      </c>
      <c r="G44" s="206" t="s">
        <v>25</v>
      </c>
      <c r="H44" s="207">
        <f>Bodování!L59</f>
        <v>53.51</v>
      </c>
      <c r="I44" s="117">
        <f>Bodování!N59</f>
        <v>0</v>
      </c>
      <c r="J44" s="117">
        <f>Bodování!P59</f>
        <v>419</v>
      </c>
      <c r="K44" s="122">
        <f>Bodování!R59</f>
        <v>45</v>
      </c>
      <c r="L44" s="124">
        <f t="shared" si="1"/>
        <v>38</v>
      </c>
    </row>
    <row r="45" spans="1:12" ht="12.75">
      <c r="A45" s="204"/>
      <c r="B45" s="121" t="str">
        <f>Bodování!C22</f>
        <v>Jonáš Petr</v>
      </c>
      <c r="C45" s="121" t="str">
        <f>Bodování!$C$19</f>
        <v>ŽŠ Školní Velké Meziříčí</v>
      </c>
      <c r="D45" s="126">
        <f>Bodování!F22</f>
        <v>1014</v>
      </c>
      <c r="E45" s="122">
        <f>Bodování!H22</f>
        <v>8.8</v>
      </c>
      <c r="F45" s="116">
        <f>Bodování!J22</f>
        <v>2</v>
      </c>
      <c r="G45" s="206" t="s">
        <v>25</v>
      </c>
      <c r="H45" s="207">
        <f>Bodování!L22</f>
        <v>55.01</v>
      </c>
      <c r="I45" s="117">
        <f>Bodování!N22</f>
        <v>0</v>
      </c>
      <c r="J45" s="117">
        <f>Bodování!P22</f>
        <v>388</v>
      </c>
      <c r="K45" s="122">
        <f>Bodování!R22</f>
        <v>46</v>
      </c>
      <c r="L45" s="124">
        <f t="shared" si="1"/>
        <v>39</v>
      </c>
    </row>
    <row r="46" spans="1:12" ht="12.75">
      <c r="A46" s="204"/>
      <c r="B46" s="118" t="str">
        <f>Bodování!C6</f>
        <v>Švanda Dominik</v>
      </c>
      <c r="C46" s="119" t="str">
        <f>Bodování!$C$5</f>
        <v>Gymnázium Bystřice n. P.</v>
      </c>
      <c r="D46" s="125">
        <f>Bodování!F6</f>
        <v>1000</v>
      </c>
      <c r="E46" s="120">
        <f>Bodování!H6</f>
        <v>8.9</v>
      </c>
      <c r="F46" s="208">
        <f>Bodování!J6</f>
        <v>2</v>
      </c>
      <c r="G46" s="206" t="s">
        <v>25</v>
      </c>
      <c r="H46" s="209">
        <f>Bodování!L6</f>
        <v>51.86</v>
      </c>
      <c r="I46" s="123">
        <f>Bodování!N6</f>
        <v>135</v>
      </c>
      <c r="J46" s="123">
        <f>Bodování!P6</f>
        <v>0</v>
      </c>
      <c r="K46" s="120">
        <f>Bodování!R6</f>
        <v>32</v>
      </c>
      <c r="L46" s="124">
        <f t="shared" si="1"/>
        <v>40</v>
      </c>
    </row>
    <row r="47" spans="1:12" ht="12.75">
      <c r="A47" s="204"/>
      <c r="B47" s="121" t="str">
        <f>Bodování!C29</f>
        <v>Havlíček Vít</v>
      </c>
      <c r="C47" s="121" t="str">
        <f>Bodování!$C$26</f>
        <v>Gymnázium Velké Meziříčí</v>
      </c>
      <c r="D47" s="126">
        <f>Bodování!F29</f>
        <v>997</v>
      </c>
      <c r="E47" s="122">
        <f>Bodování!H29</f>
        <v>8.6</v>
      </c>
      <c r="F47" s="116">
        <f>Bodování!J29</f>
        <v>2</v>
      </c>
      <c r="G47" s="206" t="s">
        <v>25</v>
      </c>
      <c r="H47" s="207">
        <f>Bodování!L29</f>
        <v>39.51</v>
      </c>
      <c r="I47" s="117">
        <f>Bodování!N29</f>
        <v>0</v>
      </c>
      <c r="J47" s="117">
        <f>Bodování!P29</f>
        <v>374</v>
      </c>
      <c r="K47" s="122">
        <f>Bodování!R29</f>
        <v>24</v>
      </c>
      <c r="L47" s="124">
        <f t="shared" si="1"/>
        <v>41</v>
      </c>
    </row>
    <row r="48" spans="1:12" ht="12.75">
      <c r="A48" s="204"/>
      <c r="B48" s="121" t="str">
        <f>Bodování!C49</f>
        <v>Honeš Šimon</v>
      </c>
      <c r="C48" s="121" t="str">
        <f>Bodování!$C$47</f>
        <v>ZŠ Nádražní Bysřice n. P.</v>
      </c>
      <c r="D48" s="126">
        <f>Bodování!F49</f>
        <v>997</v>
      </c>
      <c r="E48" s="122">
        <f>Bodování!H49</f>
        <v>9</v>
      </c>
      <c r="F48" s="116">
        <f>Bodování!J49</f>
        <v>2</v>
      </c>
      <c r="G48" s="206" t="s">
        <v>25</v>
      </c>
      <c r="H48" s="207">
        <f>Bodování!L49</f>
        <v>45.51</v>
      </c>
      <c r="I48" s="117">
        <f>Bodování!N49</f>
        <v>130</v>
      </c>
      <c r="J48" s="117">
        <f>Bodování!P49</f>
        <v>0</v>
      </c>
      <c r="K48" s="122">
        <f>Bodování!R49</f>
        <v>31.5</v>
      </c>
      <c r="L48" s="124">
        <f t="shared" si="1"/>
        <v>41</v>
      </c>
    </row>
    <row r="49" spans="1:12" ht="12.75">
      <c r="A49" s="204"/>
      <c r="B49" s="121" t="str">
        <f>Bodování!C79</f>
        <v>Šimánek Štěpán</v>
      </c>
      <c r="C49" s="121" t="str">
        <f>Bodování!$C$75</f>
        <v>ZŠ Sokolovská Velké Meziříčí</v>
      </c>
      <c r="D49" s="126">
        <f>Bodování!F79</f>
        <v>987</v>
      </c>
      <c r="E49" s="122">
        <f>Bodování!H79</f>
        <v>9.2</v>
      </c>
      <c r="F49" s="116">
        <f>Bodování!J79</f>
        <v>2</v>
      </c>
      <c r="G49" s="206" t="s">
        <v>25</v>
      </c>
      <c r="H49" s="207">
        <f>Bodování!L79</f>
        <v>42.77</v>
      </c>
      <c r="I49" s="117">
        <f>Bodování!N79</f>
        <v>0</v>
      </c>
      <c r="J49" s="117">
        <f>Bodování!P79</f>
        <v>397</v>
      </c>
      <c r="K49" s="122">
        <f>Bodování!R79</f>
        <v>38</v>
      </c>
      <c r="L49" s="124">
        <f t="shared" si="1"/>
        <v>43</v>
      </c>
    </row>
    <row r="50" spans="1:12" ht="12.75">
      <c r="A50" s="204"/>
      <c r="B50" s="121" t="str">
        <f>Bodování!C69</f>
        <v>Stránský David</v>
      </c>
      <c r="C50" s="121" t="str">
        <f>Bodování!$C$68</f>
        <v>ZŠ T.G.M. Bystřice n. P.</v>
      </c>
      <c r="D50" s="126">
        <f>Bodování!F69</f>
        <v>976</v>
      </c>
      <c r="E50" s="122">
        <f>Bodování!H69</f>
        <v>9.4</v>
      </c>
      <c r="F50" s="116">
        <f>Bodování!J69</f>
        <v>2</v>
      </c>
      <c r="G50" s="206" t="s">
        <v>25</v>
      </c>
      <c r="H50" s="207">
        <f>Bodování!L69</f>
        <v>52.06</v>
      </c>
      <c r="I50" s="117">
        <f>Bodování!N69</f>
        <v>130</v>
      </c>
      <c r="J50" s="117">
        <f>Bodování!P69</f>
        <v>0</v>
      </c>
      <c r="K50" s="122">
        <f>Bodování!R69</f>
        <v>45</v>
      </c>
      <c r="L50" s="124">
        <f t="shared" si="1"/>
        <v>44</v>
      </c>
    </row>
    <row r="51" spans="1:12" ht="12.75">
      <c r="A51" s="204"/>
      <c r="B51" s="121" t="str">
        <f>Bodování!C50</f>
        <v>Tomášek Jiří</v>
      </c>
      <c r="C51" s="121" t="str">
        <f>Bodování!$C$47</f>
        <v>ZŠ Nádražní Bysřice n. P.</v>
      </c>
      <c r="D51" s="126">
        <f>Bodování!F50</f>
        <v>963</v>
      </c>
      <c r="E51" s="122">
        <f>Bodování!H50</f>
        <v>9.5</v>
      </c>
      <c r="F51" s="116">
        <f>Bodování!J50</f>
        <v>2</v>
      </c>
      <c r="G51" s="206" t="s">
        <v>25</v>
      </c>
      <c r="H51" s="207">
        <f>Bodování!L50</f>
        <v>40.41</v>
      </c>
      <c r="I51" s="117">
        <f>Bodování!N50</f>
        <v>115</v>
      </c>
      <c r="J51" s="117">
        <f>Bodování!P50</f>
        <v>0</v>
      </c>
      <c r="K51" s="122">
        <f>Bodování!R50</f>
        <v>44</v>
      </c>
      <c r="L51" s="124">
        <f t="shared" si="1"/>
        <v>45</v>
      </c>
    </row>
    <row r="52" spans="1:12" ht="12.75">
      <c r="A52" s="204"/>
      <c r="B52" s="118" t="str">
        <f>Bodování!C9</f>
        <v>Ludvík Rostislav</v>
      </c>
      <c r="C52" s="119" t="str">
        <f>Bodování!$C$5</f>
        <v>Gymnázium Bystřice n. P.</v>
      </c>
      <c r="D52" s="125">
        <f>Bodování!F9</f>
        <v>960</v>
      </c>
      <c r="E52" s="120">
        <f>Bodování!H9</f>
        <v>9</v>
      </c>
      <c r="F52" s="208">
        <f>Bodování!J9</f>
        <v>2</v>
      </c>
      <c r="G52" s="206" t="s">
        <v>25</v>
      </c>
      <c r="H52" s="209">
        <f>Bodování!L9</f>
        <v>47.36</v>
      </c>
      <c r="I52" s="123">
        <f>Bodování!N9</f>
        <v>0</v>
      </c>
      <c r="J52" s="123">
        <f>Bodování!P9</f>
        <v>379</v>
      </c>
      <c r="K52" s="120">
        <f>Bodování!R9</f>
        <v>38.5</v>
      </c>
      <c r="L52" s="124">
        <f t="shared" si="1"/>
        <v>46</v>
      </c>
    </row>
    <row r="53" spans="1:12" ht="12.75">
      <c r="A53" s="204"/>
      <c r="B53" s="121" t="str">
        <f>Bodování!C31</f>
        <v>Turza Jan</v>
      </c>
      <c r="C53" s="121" t="str">
        <f>Bodování!$C$26</f>
        <v>Gymnázium Velké Meziříčí</v>
      </c>
      <c r="D53" s="126">
        <f>Bodování!F31</f>
        <v>942</v>
      </c>
      <c r="E53" s="122">
        <f>Bodování!H31</f>
        <v>9</v>
      </c>
      <c r="F53" s="116">
        <f>Bodování!J31</f>
        <v>2</v>
      </c>
      <c r="G53" s="206" t="s">
        <v>25</v>
      </c>
      <c r="H53" s="207">
        <f>Bodování!L31</f>
        <v>45.8</v>
      </c>
      <c r="I53" s="117">
        <f>Bodování!N31</f>
        <v>0</v>
      </c>
      <c r="J53" s="117">
        <f>Bodování!P31</f>
        <v>352</v>
      </c>
      <c r="K53" s="122">
        <f>Bodování!R31</f>
        <v>39.5</v>
      </c>
      <c r="L53" s="124">
        <f t="shared" si="1"/>
        <v>47</v>
      </c>
    </row>
    <row r="54" spans="1:12" ht="12.75">
      <c r="A54" s="204"/>
      <c r="B54" s="121" t="str">
        <f>Bodování!C28</f>
        <v>Vokoun Petr</v>
      </c>
      <c r="C54" s="121" t="str">
        <f>Bodování!$C$26</f>
        <v>Gymnázium Velké Meziříčí</v>
      </c>
      <c r="D54" s="126">
        <f>Bodování!F28</f>
        <v>934</v>
      </c>
      <c r="E54" s="122">
        <f>Bodování!H28</f>
        <v>8.9</v>
      </c>
      <c r="F54" s="116">
        <f>Bodování!J28</f>
        <v>2</v>
      </c>
      <c r="G54" s="206" t="s">
        <v>25</v>
      </c>
      <c r="H54" s="207">
        <f>Bodování!L28</f>
        <v>33.01</v>
      </c>
      <c r="I54" s="117">
        <f>Bodování!N28</f>
        <v>0</v>
      </c>
      <c r="J54" s="117">
        <f>Bodování!P28</f>
        <v>0</v>
      </c>
      <c r="K54" s="122">
        <f>Bodování!R28</f>
        <v>37</v>
      </c>
      <c r="L54" s="124">
        <f t="shared" si="1"/>
        <v>48</v>
      </c>
    </row>
    <row r="55" spans="1:12" ht="12.75">
      <c r="A55" s="204"/>
      <c r="B55" s="121" t="str">
        <f>Bodování!C77</f>
        <v>Kudláček Jan</v>
      </c>
      <c r="C55" s="121" t="str">
        <f>Bodování!$C$75</f>
        <v>ZŠ Sokolovská Velké Meziříčí</v>
      </c>
      <c r="D55" s="126">
        <f>Bodování!F77</f>
        <v>913</v>
      </c>
      <c r="E55" s="122">
        <f>Bodování!H77</f>
        <v>9.2</v>
      </c>
      <c r="F55" s="116">
        <f>Bodování!J77</f>
        <v>3</v>
      </c>
      <c r="G55" s="206" t="s">
        <v>25</v>
      </c>
      <c r="H55" s="207">
        <f>Bodování!L77</f>
        <v>6.42</v>
      </c>
      <c r="I55" s="117">
        <f>Bodování!N77</f>
        <v>130</v>
      </c>
      <c r="J55" s="117">
        <f>Bodování!P77</f>
        <v>0</v>
      </c>
      <c r="K55" s="122">
        <f>Bodování!R77</f>
        <v>46</v>
      </c>
      <c r="L55" s="124">
        <f t="shared" si="1"/>
        <v>49</v>
      </c>
    </row>
    <row r="56" spans="1:12" ht="12.75">
      <c r="A56" s="204"/>
      <c r="B56" s="121" t="str">
        <f>Bodování!C86</f>
        <v>Hladký Marek</v>
      </c>
      <c r="C56" s="121" t="str">
        <f>Bodování!$C$82</f>
        <v>Gymnázium Žďár n. S.</v>
      </c>
      <c r="D56" s="126">
        <f>Bodování!F86</f>
        <v>896</v>
      </c>
      <c r="E56" s="122">
        <f>Bodování!H86</f>
        <v>9.1</v>
      </c>
      <c r="F56" s="116">
        <f>Bodování!J86</f>
        <v>2</v>
      </c>
      <c r="G56" s="206" t="s">
        <v>25</v>
      </c>
      <c r="H56" s="207">
        <f>Bodování!L86</f>
        <v>38.86</v>
      </c>
      <c r="I56" s="117">
        <f>Bodování!N86</f>
        <v>0</v>
      </c>
      <c r="J56" s="117">
        <f>Bodování!P86</f>
        <v>348</v>
      </c>
      <c r="K56" s="122">
        <f>Bodování!R86</f>
        <v>29</v>
      </c>
      <c r="L56" s="124">
        <f t="shared" si="1"/>
        <v>50</v>
      </c>
    </row>
    <row r="57" spans="1:12" ht="12.75">
      <c r="A57" s="204"/>
      <c r="B57" s="121" t="str">
        <f>Bodování!C57</f>
        <v>Pátek Radim</v>
      </c>
      <c r="C57" s="121" t="str">
        <f>Bodování!$C$54</f>
        <v>ZŠ Švermova Žďár n. S.</v>
      </c>
      <c r="D57" s="126">
        <f>Bodování!F57</f>
        <v>870</v>
      </c>
      <c r="E57" s="122">
        <f>Bodování!H57</f>
        <v>9.6</v>
      </c>
      <c r="F57" s="116">
        <f>Bodování!J57</f>
        <v>3</v>
      </c>
      <c r="G57" s="206" t="s">
        <v>25</v>
      </c>
      <c r="H57" s="207">
        <f>Bodování!L57</f>
        <v>1.26</v>
      </c>
      <c r="I57" s="117">
        <f>Bodování!N57</f>
        <v>135</v>
      </c>
      <c r="J57" s="117">
        <f>Bodování!P57</f>
        <v>0</v>
      </c>
      <c r="K57" s="122">
        <f>Bodování!R57</f>
        <v>41</v>
      </c>
      <c r="L57" s="124">
        <f t="shared" si="1"/>
        <v>51</v>
      </c>
    </row>
    <row r="58" spans="1:12" ht="12.75">
      <c r="A58" s="204"/>
      <c r="B58" s="118" t="str">
        <f>Bodování!C8</f>
        <v>Žilka Jakub</v>
      </c>
      <c r="C58" s="119" t="str">
        <f>Bodování!$C$5</f>
        <v>Gymnázium Bystřice n. P.</v>
      </c>
      <c r="D58" s="125">
        <f>Bodování!F8</f>
        <v>863</v>
      </c>
      <c r="E58" s="120">
        <f>Bodování!H8</f>
        <v>9.1</v>
      </c>
      <c r="F58" s="208">
        <f>Bodování!J8</f>
        <v>3</v>
      </c>
      <c r="G58" s="206" t="s">
        <v>25</v>
      </c>
      <c r="H58" s="209">
        <f>Bodování!L8</f>
        <v>13.39</v>
      </c>
      <c r="I58" s="123">
        <f>Bodování!N8</f>
        <v>0</v>
      </c>
      <c r="J58" s="123">
        <f>Bodování!P8</f>
        <v>380</v>
      </c>
      <c r="K58" s="120">
        <f>Bodování!R8</f>
        <v>52</v>
      </c>
      <c r="L58" s="124">
        <f t="shared" si="1"/>
        <v>52</v>
      </c>
    </row>
    <row r="59" spans="1:12" ht="12.75">
      <c r="A59" s="204"/>
      <c r="B59" s="121" t="str">
        <f>Bodování!C30</f>
        <v>Sobotka Viktor</v>
      </c>
      <c r="C59" s="121" t="str">
        <f>Bodování!$C$26</f>
        <v>Gymnázium Velké Meziříčí</v>
      </c>
      <c r="D59" s="126">
        <f>Bodování!F30</f>
        <v>862</v>
      </c>
      <c r="E59" s="122">
        <f>Bodování!H30</f>
        <v>9.4</v>
      </c>
      <c r="F59" s="116">
        <f>Bodování!J30</f>
        <v>2</v>
      </c>
      <c r="G59" s="206" t="s">
        <v>25</v>
      </c>
      <c r="H59" s="207">
        <f>Bodování!L30</f>
        <v>49.8</v>
      </c>
      <c r="I59" s="117">
        <f>Bodování!N30</f>
        <v>0</v>
      </c>
      <c r="J59" s="117">
        <f>Bodování!P30</f>
        <v>375</v>
      </c>
      <c r="K59" s="122">
        <f>Bodování!R30</f>
        <v>39</v>
      </c>
      <c r="L59" s="124">
        <f t="shared" si="1"/>
        <v>53</v>
      </c>
    </row>
    <row r="60" spans="1:12" ht="12.75">
      <c r="A60" s="204"/>
      <c r="B60" s="175" t="str">
        <f>Bodování!C91</f>
        <v>Hrouda František</v>
      </c>
      <c r="C60" s="175" t="str">
        <f>Bodování!$C$89</f>
        <v>1. ZŠ Nové Město na Moravě</v>
      </c>
      <c r="D60" s="126">
        <f>Bodování!F91</f>
        <v>842</v>
      </c>
      <c r="E60" s="176">
        <f>Bodování!H91</f>
        <v>9.8</v>
      </c>
      <c r="F60" s="210">
        <f>Bodování!J91</f>
        <v>3</v>
      </c>
      <c r="G60" s="211" t="s">
        <v>25</v>
      </c>
      <c r="H60" s="212">
        <f>Bodování!L91</f>
        <v>1.73</v>
      </c>
      <c r="I60" s="177">
        <f>Bodování!N91</f>
        <v>130</v>
      </c>
      <c r="J60" s="177">
        <f>Bodování!P91</f>
        <v>0</v>
      </c>
      <c r="K60" s="178">
        <f>Bodování!R91</f>
        <v>45.5</v>
      </c>
      <c r="L60" s="124">
        <f t="shared" si="1"/>
        <v>54</v>
      </c>
    </row>
    <row r="61" spans="1:12" ht="12.75">
      <c r="A61" s="204"/>
      <c r="B61" s="118" t="str">
        <f>Bodování!C10</f>
        <v>Toman Antonín</v>
      </c>
      <c r="C61" s="119" t="str">
        <f>Bodování!$C$5</f>
        <v>Gymnázium Bystřice n. P.</v>
      </c>
      <c r="D61" s="125">
        <f>Bodování!F10</f>
        <v>837</v>
      </c>
      <c r="E61" s="120">
        <f>Bodování!H10</f>
        <v>9.1</v>
      </c>
      <c r="F61" s="208">
        <f>Bodování!J10</f>
        <v>2</v>
      </c>
      <c r="G61" s="206" t="s">
        <v>25</v>
      </c>
      <c r="H61" s="209">
        <f>Bodování!L10</f>
        <v>50.89</v>
      </c>
      <c r="I61" s="123">
        <f>Bodování!N10</f>
        <v>0</v>
      </c>
      <c r="J61" s="123">
        <f>Bodování!P10</f>
        <v>346</v>
      </c>
      <c r="K61" s="120">
        <f>Bodování!R10</f>
        <v>35.5</v>
      </c>
      <c r="L61" s="124">
        <f t="shared" si="1"/>
        <v>55</v>
      </c>
    </row>
    <row r="62" spans="1:12" ht="12.75">
      <c r="A62" s="204"/>
      <c r="B62" s="121" t="str">
        <f>Bodování!C65</f>
        <v>Klíma Tomáš</v>
      </c>
      <c r="C62" s="121" t="str">
        <f>Bodování!$C$61</f>
        <v>ZŠ Oslavická V. Meziříčí</v>
      </c>
      <c r="D62" s="126">
        <f>Bodování!F65</f>
        <v>834</v>
      </c>
      <c r="E62" s="122">
        <f>Bodování!H65</f>
        <v>9.4</v>
      </c>
      <c r="F62" s="116">
        <f>Bodování!J65</f>
        <v>2</v>
      </c>
      <c r="G62" s="206" t="s">
        <v>25</v>
      </c>
      <c r="H62" s="207">
        <f>Bodování!L65</f>
        <v>44.89</v>
      </c>
      <c r="I62" s="117">
        <f>Bodování!N65</f>
        <v>0</v>
      </c>
      <c r="J62" s="117">
        <f>Bodování!P65</f>
        <v>336</v>
      </c>
      <c r="K62" s="122">
        <f>Bodování!R65</f>
        <v>37</v>
      </c>
      <c r="L62" s="124">
        <f t="shared" si="1"/>
        <v>56</v>
      </c>
    </row>
    <row r="63" spans="1:12" ht="12.75">
      <c r="A63" s="204"/>
      <c r="B63" s="121" t="str">
        <f>Bodování!C52</f>
        <v>Kubík Petr </v>
      </c>
      <c r="C63" s="121" t="str">
        <f>Bodování!$C$47</f>
        <v>ZŠ Nádražní Bysřice n. P.</v>
      </c>
      <c r="D63" s="126">
        <f>Bodování!F52</f>
        <v>831</v>
      </c>
      <c r="E63" s="122">
        <f>Bodování!H52</f>
        <v>9.2</v>
      </c>
      <c r="F63" s="116">
        <f>Bodování!J52</f>
        <v>2</v>
      </c>
      <c r="G63" s="206" t="s">
        <v>25</v>
      </c>
      <c r="H63" s="207">
        <f>Bodování!L52</f>
        <v>56.41</v>
      </c>
      <c r="I63" s="117">
        <f>Bodování!N52</f>
        <v>0</v>
      </c>
      <c r="J63" s="117">
        <f>Bodování!P52</f>
        <v>398</v>
      </c>
      <c r="K63" s="122">
        <f>Bodování!R52</f>
        <v>33</v>
      </c>
      <c r="L63" s="124">
        <f t="shared" si="1"/>
        <v>57</v>
      </c>
    </row>
    <row r="64" spans="1:12" ht="12.75">
      <c r="A64" s="204"/>
      <c r="B64" s="175" t="str">
        <f>Bodování!C90</f>
        <v>Němeček Jan</v>
      </c>
      <c r="C64" s="175" t="str">
        <f>Bodování!$C$89</f>
        <v>1. ZŠ Nové Město na Moravě</v>
      </c>
      <c r="D64" s="126">
        <f>Bodování!F90</f>
        <v>816</v>
      </c>
      <c r="E64" s="176">
        <f>Bodování!H90</f>
        <v>9.5</v>
      </c>
      <c r="F64" s="210">
        <f>Bodování!J90</f>
        <v>2</v>
      </c>
      <c r="G64" s="211" t="s">
        <v>25</v>
      </c>
      <c r="H64" s="212">
        <f>Bodování!L90</f>
        <v>59.09</v>
      </c>
      <c r="I64" s="177">
        <f>Bodování!N90</f>
        <v>120</v>
      </c>
      <c r="J64" s="177">
        <f>Bodování!P90</f>
        <v>0</v>
      </c>
      <c r="K64" s="178">
        <f>Bodování!R90</f>
        <v>42</v>
      </c>
      <c r="L64" s="124">
        <f t="shared" si="1"/>
        <v>58</v>
      </c>
    </row>
    <row r="65" spans="1:12" ht="12.75">
      <c r="A65" s="204"/>
      <c r="B65" s="121" t="str">
        <f>Bodování!C38</f>
        <v>Tranda František</v>
      </c>
      <c r="C65" s="121" t="str">
        <f>Bodování!$C$33</f>
        <v>ZŠ Měřín</v>
      </c>
      <c r="D65" s="126">
        <f>Bodování!F38</f>
        <v>807</v>
      </c>
      <c r="E65" s="122">
        <f>Bodování!H38</f>
        <v>9.4</v>
      </c>
      <c r="F65" s="116">
        <f>Bodování!J38</f>
        <v>2</v>
      </c>
      <c r="G65" s="206" t="s">
        <v>25</v>
      </c>
      <c r="H65" s="207">
        <f>Bodování!L38</f>
        <v>54.45</v>
      </c>
      <c r="I65" s="117">
        <f>Bodování!N38</f>
        <v>0</v>
      </c>
      <c r="J65" s="117">
        <f>Bodování!P38</f>
        <v>396</v>
      </c>
      <c r="K65" s="122">
        <f>Bodování!R38</f>
        <v>33</v>
      </c>
      <c r="L65" s="124">
        <f t="shared" si="1"/>
        <v>59</v>
      </c>
    </row>
    <row r="66" spans="1:12" ht="12.75">
      <c r="A66" s="204"/>
      <c r="B66" s="121" t="str">
        <f>Bodování!C76</f>
        <v>Jaša Adam</v>
      </c>
      <c r="C66" s="121" t="str">
        <f>Bodování!$C$75</f>
        <v>ZŠ Sokolovská Velké Meziříčí</v>
      </c>
      <c r="D66" s="126">
        <f>Bodování!F76</f>
        <v>778</v>
      </c>
      <c r="E66" s="122">
        <f>Bodování!H76</f>
        <v>9.1</v>
      </c>
      <c r="F66" s="116">
        <f>Bodování!J76</f>
        <v>3</v>
      </c>
      <c r="G66" s="206" t="s">
        <v>25</v>
      </c>
      <c r="H66" s="207">
        <f>Bodování!L76</f>
        <v>6.2</v>
      </c>
      <c r="I66" s="117">
        <f>Bodování!N76</f>
        <v>125</v>
      </c>
      <c r="J66" s="117">
        <f>Bodování!P76</f>
        <v>0</v>
      </c>
      <c r="K66" s="122">
        <f>Bodování!R76</f>
        <v>31</v>
      </c>
      <c r="L66" s="124">
        <f t="shared" si="1"/>
        <v>60</v>
      </c>
    </row>
    <row r="67" spans="1:12" ht="12.75">
      <c r="A67" s="205"/>
      <c r="B67" s="121" t="str">
        <f>Bodování!C37</f>
        <v>Zdvihal Šimon</v>
      </c>
      <c r="C67" s="121" t="str">
        <f>Bodování!$C$33</f>
        <v>ZŠ Měřín</v>
      </c>
      <c r="D67" s="126">
        <f>Bodování!F37</f>
        <v>757</v>
      </c>
      <c r="E67" s="122">
        <f>Bodování!H37</f>
        <v>9.2</v>
      </c>
      <c r="F67" s="116">
        <f>Bodování!J37</f>
        <v>2</v>
      </c>
      <c r="G67" s="206" t="s">
        <v>25</v>
      </c>
      <c r="H67" s="207">
        <f>Bodování!L37</f>
        <v>54.61</v>
      </c>
      <c r="I67" s="117">
        <f>Bodování!N37</f>
        <v>0</v>
      </c>
      <c r="J67" s="117">
        <f>Bodování!P37</f>
        <v>333</v>
      </c>
      <c r="K67" s="122">
        <f>Bodování!R37</f>
        <v>34</v>
      </c>
      <c r="L67" s="124">
        <f t="shared" si="1"/>
        <v>61</v>
      </c>
    </row>
    <row r="68" spans="1:12" ht="12.75">
      <c r="A68" s="205"/>
      <c r="B68" s="175" t="str">
        <f>Bodování!C92</f>
        <v>Dobrovolný Tadeáš</v>
      </c>
      <c r="C68" s="175" t="str">
        <f>Bodování!$C$89</f>
        <v>1. ZŠ Nové Město na Moravě</v>
      </c>
      <c r="D68" s="126">
        <f>Bodování!F92</f>
        <v>694</v>
      </c>
      <c r="E68" s="176">
        <f>Bodování!H92</f>
        <v>9.1</v>
      </c>
      <c r="F68" s="210">
        <f>Bodování!J92</f>
        <v>3</v>
      </c>
      <c r="G68" s="211" t="s">
        <v>25</v>
      </c>
      <c r="H68" s="212">
        <f>Bodování!L92</f>
        <v>9.06</v>
      </c>
      <c r="I68" s="177">
        <f>Bodování!N92</f>
        <v>0</v>
      </c>
      <c r="J68" s="177">
        <f>Bodování!P92</f>
        <v>386</v>
      </c>
      <c r="K68" s="178">
        <f>Bodování!R92</f>
        <v>27</v>
      </c>
      <c r="L68" s="124">
        <f t="shared" si="1"/>
        <v>62</v>
      </c>
    </row>
    <row r="69" spans="1:12" ht="12.75">
      <c r="A69" s="205"/>
      <c r="B69" s="121" t="str">
        <f>Bodování!C87</f>
        <v>Budzinski Marek</v>
      </c>
      <c r="C69" s="121" t="str">
        <f>Bodování!$C$82</f>
        <v>Gymnázium Žďár n. S.</v>
      </c>
      <c r="D69" s="126">
        <f>Bodování!F87</f>
        <v>572</v>
      </c>
      <c r="E69" s="122">
        <f>Bodování!H87</f>
        <v>9.7</v>
      </c>
      <c r="F69" s="116">
        <f>Bodování!J87</f>
        <v>3</v>
      </c>
      <c r="G69" s="206" t="s">
        <v>25</v>
      </c>
      <c r="H69" s="207">
        <f>Bodování!L87</f>
        <v>4.23</v>
      </c>
      <c r="I69" s="117">
        <f>Bodování!N87</f>
        <v>0</v>
      </c>
      <c r="J69" s="117">
        <f>Bodování!P87</f>
        <v>298</v>
      </c>
      <c r="K69" s="122">
        <f>Bodování!R87</f>
        <v>36</v>
      </c>
      <c r="L69" s="124">
        <f t="shared" si="1"/>
        <v>63</v>
      </c>
    </row>
    <row r="70" spans="1:12" ht="12.75">
      <c r="A70" s="205"/>
      <c r="B70" s="175" t="str">
        <f>Bodování!C94</f>
        <v>Janů Petr</v>
      </c>
      <c r="C70" s="175" t="str">
        <f>Bodování!$C$89</f>
        <v>1. ZŠ Nové Město na Moravě</v>
      </c>
      <c r="D70" s="126">
        <f>Bodování!F94</f>
        <v>548</v>
      </c>
      <c r="E70" s="176">
        <f>Bodování!H94</f>
        <v>9.8</v>
      </c>
      <c r="F70" s="210">
        <f>Bodování!J94</f>
        <v>2</v>
      </c>
      <c r="G70" s="211" t="s">
        <v>25</v>
      </c>
      <c r="H70" s="212">
        <f>Bodování!L94</f>
        <v>58.11</v>
      </c>
      <c r="I70" s="177">
        <f>Bodování!N94</f>
        <v>0</v>
      </c>
      <c r="J70" s="177">
        <f>Bodování!P94</f>
        <v>311</v>
      </c>
      <c r="K70" s="178">
        <f>Bodování!R94</f>
        <v>27</v>
      </c>
      <c r="L70" s="124">
        <f t="shared" si="1"/>
        <v>64</v>
      </c>
    </row>
    <row r="71" spans="1:12" ht="12.75" hidden="1">
      <c r="A71" s="205"/>
      <c r="B71" s="121">
        <f>Bodování!C80</f>
        <v>0</v>
      </c>
      <c r="C71" s="121" t="str">
        <f>Bodování!$C$75</f>
        <v>ZŠ Sokolovská Velké Meziříčí</v>
      </c>
      <c r="D71" s="126">
        <f>Bodování!F80</f>
        <v>0</v>
      </c>
      <c r="E71" s="122">
        <f>Bodování!H80</f>
        <v>0</v>
      </c>
      <c r="F71" s="116">
        <f>Bodování!J80</f>
        <v>0</v>
      </c>
      <c r="G71" s="206" t="s">
        <v>25</v>
      </c>
      <c r="H71" s="207">
        <f>Bodování!L80</f>
        <v>0</v>
      </c>
      <c r="I71" s="117">
        <f>Bodování!N80</f>
        <v>0</v>
      </c>
      <c r="J71" s="117">
        <f>Bodování!P80</f>
        <v>0</v>
      </c>
      <c r="K71" s="122">
        <f>Bodování!R80</f>
        <v>0</v>
      </c>
      <c r="L71" s="124" t="str">
        <f aca="true" t="shared" si="2" ref="L71:L81">IF(D71=0,"NEV",(RANK(D71,$D$7:$D$81)))</f>
        <v>NEV</v>
      </c>
    </row>
    <row r="72" spans="1:12" ht="12.75" hidden="1">
      <c r="A72" s="205"/>
      <c r="B72" s="175" t="str">
        <f>Bodování!C97</f>
        <v>y1</v>
      </c>
      <c r="C72" s="175" t="str">
        <f>Bodování!$C$96</f>
        <v>XXX</v>
      </c>
      <c r="D72" s="126">
        <f>Bodování!F97</f>
        <v>0</v>
      </c>
      <c r="E72" s="176">
        <f>Bodování!H97</f>
        <v>0</v>
      </c>
      <c r="F72" s="210">
        <f>Bodování!J97</f>
        <v>0</v>
      </c>
      <c r="G72" s="211" t="s">
        <v>25</v>
      </c>
      <c r="H72" s="212">
        <f>Bodování!L97</f>
        <v>0</v>
      </c>
      <c r="I72" s="177">
        <f>Bodování!N97</f>
        <v>0</v>
      </c>
      <c r="J72" s="177">
        <f>Bodování!P97</f>
        <v>0</v>
      </c>
      <c r="K72" s="178">
        <f>Bodování!R97</f>
        <v>0</v>
      </c>
      <c r="L72" s="124" t="str">
        <f t="shared" si="2"/>
        <v>NEV</v>
      </c>
    </row>
    <row r="73" spans="1:12" ht="12.75" hidden="1">
      <c r="A73" s="205"/>
      <c r="B73" s="175" t="str">
        <f>Bodování!C98</f>
        <v>y2</v>
      </c>
      <c r="C73" s="175" t="str">
        <f>Bodování!$C$96</f>
        <v>XXX</v>
      </c>
      <c r="D73" s="126">
        <f>Bodování!F98</f>
        <v>0</v>
      </c>
      <c r="E73" s="176">
        <f>Bodování!H98</f>
        <v>0</v>
      </c>
      <c r="F73" s="210">
        <f>Bodování!J98</f>
        <v>0</v>
      </c>
      <c r="G73" s="211" t="s">
        <v>25</v>
      </c>
      <c r="H73" s="212">
        <f>Bodování!L98</f>
        <v>0</v>
      </c>
      <c r="I73" s="177">
        <f>Bodování!N98</f>
        <v>0</v>
      </c>
      <c r="J73" s="177">
        <f>Bodování!P98</f>
        <v>0</v>
      </c>
      <c r="K73" s="178">
        <f>Bodování!R98</f>
        <v>0</v>
      </c>
      <c r="L73" s="124" t="str">
        <f t="shared" si="2"/>
        <v>NEV</v>
      </c>
    </row>
    <row r="74" spans="1:12" ht="12.75" hidden="1">
      <c r="A74" s="205"/>
      <c r="B74" s="175" t="str">
        <f>Bodování!C99</f>
        <v>y3</v>
      </c>
      <c r="C74" s="175" t="str">
        <f>Bodování!$C$96</f>
        <v>XXX</v>
      </c>
      <c r="D74" s="126">
        <f>Bodování!F99</f>
        <v>0</v>
      </c>
      <c r="E74" s="176">
        <f>Bodování!H99</f>
        <v>0</v>
      </c>
      <c r="F74" s="210">
        <f>Bodování!J99</f>
        <v>0</v>
      </c>
      <c r="G74" s="211" t="s">
        <v>25</v>
      </c>
      <c r="H74" s="212">
        <f>Bodování!L99</f>
        <v>0</v>
      </c>
      <c r="I74" s="177">
        <f>Bodování!N99</f>
        <v>0</v>
      </c>
      <c r="J74" s="177">
        <f>Bodování!P99</f>
        <v>0</v>
      </c>
      <c r="K74" s="178">
        <f>Bodování!R99</f>
        <v>0</v>
      </c>
      <c r="L74" s="124" t="str">
        <f t="shared" si="2"/>
        <v>NEV</v>
      </c>
    </row>
    <row r="75" spans="1:12" ht="12.75" hidden="1">
      <c r="A75" s="205"/>
      <c r="B75" s="175" t="str">
        <f>Bodování!C100</f>
        <v>y4</v>
      </c>
      <c r="C75" s="175" t="str">
        <f>Bodování!$C$96</f>
        <v>XXX</v>
      </c>
      <c r="D75" s="126">
        <f>Bodování!F100</f>
        <v>0</v>
      </c>
      <c r="E75" s="176">
        <f>Bodování!H100</f>
        <v>0</v>
      </c>
      <c r="F75" s="210">
        <f>Bodování!J100</f>
        <v>0</v>
      </c>
      <c r="G75" s="211" t="s">
        <v>25</v>
      </c>
      <c r="H75" s="212">
        <f>Bodování!L100</f>
        <v>0</v>
      </c>
      <c r="I75" s="177">
        <f>Bodování!N100</f>
        <v>0</v>
      </c>
      <c r="J75" s="177">
        <f>Bodování!P100</f>
        <v>0</v>
      </c>
      <c r="K75" s="178">
        <f>Bodování!R100</f>
        <v>0</v>
      </c>
      <c r="L75" s="124" t="str">
        <f t="shared" si="2"/>
        <v>NEV</v>
      </c>
    </row>
    <row r="76" spans="1:12" ht="12.75" hidden="1">
      <c r="A76" s="205"/>
      <c r="B76" s="175" t="str">
        <f>Bodování!C101</f>
        <v>y5</v>
      </c>
      <c r="C76" s="175" t="str">
        <f>Bodování!$C$96</f>
        <v>XXX</v>
      </c>
      <c r="D76" s="126">
        <f>Bodování!F101</f>
        <v>0</v>
      </c>
      <c r="E76" s="176">
        <f>Bodování!H101</f>
        <v>0</v>
      </c>
      <c r="F76" s="210">
        <f>Bodování!J101</f>
        <v>0</v>
      </c>
      <c r="G76" s="211" t="s">
        <v>25</v>
      </c>
      <c r="H76" s="212">
        <f>Bodování!L101</f>
        <v>0</v>
      </c>
      <c r="I76" s="177">
        <f>Bodování!N101</f>
        <v>0</v>
      </c>
      <c r="J76" s="177">
        <f>Bodování!P101</f>
        <v>0</v>
      </c>
      <c r="K76" s="178">
        <f>Bodování!R101</f>
        <v>0</v>
      </c>
      <c r="L76" s="124" t="str">
        <f t="shared" si="2"/>
        <v>NEV</v>
      </c>
    </row>
    <row r="77" spans="1:12" ht="12.75" hidden="1">
      <c r="A77" s="205"/>
      <c r="B77" s="175" t="str">
        <f>Bodování!C104</f>
        <v>z1</v>
      </c>
      <c r="C77" s="175" t="str">
        <f>Bodování!$C$103</f>
        <v>XXX</v>
      </c>
      <c r="D77" s="126">
        <f>Bodování!F104</f>
        <v>0</v>
      </c>
      <c r="E77" s="176">
        <f>Bodování!H104</f>
        <v>0</v>
      </c>
      <c r="F77" s="210">
        <f>Bodování!J104</f>
        <v>0</v>
      </c>
      <c r="G77" s="211" t="s">
        <v>25</v>
      </c>
      <c r="H77" s="212">
        <f>Bodování!L104</f>
        <v>0</v>
      </c>
      <c r="I77" s="177">
        <f>Bodování!N104</f>
        <v>0</v>
      </c>
      <c r="J77" s="177">
        <f>Bodování!P104</f>
        <v>0</v>
      </c>
      <c r="K77" s="178">
        <f>Bodování!R104</f>
        <v>0</v>
      </c>
      <c r="L77" s="124" t="str">
        <f t="shared" si="2"/>
        <v>NEV</v>
      </c>
    </row>
    <row r="78" spans="1:12" ht="12.75" hidden="1">
      <c r="A78" s="205"/>
      <c r="B78" s="175" t="str">
        <f>Bodování!C105</f>
        <v>z2</v>
      </c>
      <c r="C78" s="175" t="str">
        <f>Bodování!$C$103</f>
        <v>XXX</v>
      </c>
      <c r="D78" s="126">
        <f>Bodování!F105</f>
        <v>0</v>
      </c>
      <c r="E78" s="176">
        <f>Bodování!H105</f>
        <v>0</v>
      </c>
      <c r="F78" s="210">
        <f>Bodování!J105</f>
        <v>0</v>
      </c>
      <c r="G78" s="211" t="s">
        <v>25</v>
      </c>
      <c r="H78" s="212">
        <f>Bodování!L105</f>
        <v>0</v>
      </c>
      <c r="I78" s="177">
        <f>Bodování!N105</f>
        <v>0</v>
      </c>
      <c r="J78" s="177">
        <f>Bodování!P105</f>
        <v>0</v>
      </c>
      <c r="K78" s="178">
        <f>Bodování!R105</f>
        <v>0</v>
      </c>
      <c r="L78" s="124" t="str">
        <f t="shared" si="2"/>
        <v>NEV</v>
      </c>
    </row>
    <row r="79" spans="1:12" ht="12.75" hidden="1">
      <c r="A79" s="205"/>
      <c r="B79" s="175" t="str">
        <f>Bodování!C106</f>
        <v>z3</v>
      </c>
      <c r="C79" s="175" t="str">
        <f>Bodování!$C$103</f>
        <v>XXX</v>
      </c>
      <c r="D79" s="126">
        <f>Bodování!F106</f>
        <v>0</v>
      </c>
      <c r="E79" s="176">
        <f>Bodování!H106</f>
        <v>0</v>
      </c>
      <c r="F79" s="210">
        <f>Bodování!J106</f>
        <v>0</v>
      </c>
      <c r="G79" s="211" t="s">
        <v>25</v>
      </c>
      <c r="H79" s="212">
        <f>Bodování!L106</f>
        <v>0</v>
      </c>
      <c r="I79" s="177">
        <f>Bodování!N106</f>
        <v>0</v>
      </c>
      <c r="J79" s="177">
        <f>Bodování!P106</f>
        <v>0</v>
      </c>
      <c r="K79" s="178">
        <f>Bodování!R106</f>
        <v>0</v>
      </c>
      <c r="L79" s="124" t="str">
        <f t="shared" si="2"/>
        <v>NEV</v>
      </c>
    </row>
    <row r="80" spans="1:12" ht="12.75" hidden="1">
      <c r="A80" s="205"/>
      <c r="B80" s="175" t="str">
        <f>Bodování!C107</f>
        <v>z4</v>
      </c>
      <c r="C80" s="175" t="str">
        <f>Bodování!$C$103</f>
        <v>XXX</v>
      </c>
      <c r="D80" s="126">
        <f>Bodování!F107</f>
        <v>0</v>
      </c>
      <c r="E80" s="176">
        <f>Bodování!H107</f>
        <v>0</v>
      </c>
      <c r="F80" s="210">
        <f>Bodování!J107</f>
        <v>0</v>
      </c>
      <c r="G80" s="211" t="s">
        <v>25</v>
      </c>
      <c r="H80" s="212">
        <f>Bodování!L107</f>
        <v>0</v>
      </c>
      <c r="I80" s="177">
        <f>Bodování!N107</f>
        <v>0</v>
      </c>
      <c r="J80" s="177">
        <f>Bodování!P107</f>
        <v>0</v>
      </c>
      <c r="K80" s="178">
        <f>Bodování!R107</f>
        <v>0</v>
      </c>
      <c r="L80" s="124" t="str">
        <f t="shared" si="2"/>
        <v>NEV</v>
      </c>
    </row>
    <row r="81" spans="1:12" ht="12.75" hidden="1">
      <c r="A81" s="205"/>
      <c r="B81" s="175" t="str">
        <f>Bodování!C108</f>
        <v>z5</v>
      </c>
      <c r="C81" s="175" t="str">
        <f>Bodování!$C$103</f>
        <v>XXX</v>
      </c>
      <c r="D81" s="126">
        <f>Bodování!F108</f>
        <v>0</v>
      </c>
      <c r="E81" s="176">
        <f>Bodování!H108</f>
        <v>0</v>
      </c>
      <c r="F81" s="210">
        <f>Bodování!J108</f>
        <v>0</v>
      </c>
      <c r="G81" s="211" t="s">
        <v>25</v>
      </c>
      <c r="H81" s="212">
        <f>Bodování!L108</f>
        <v>0</v>
      </c>
      <c r="I81" s="177">
        <f>Bodování!N108</f>
        <v>0</v>
      </c>
      <c r="J81" s="177">
        <f>Bodování!P108</f>
        <v>0</v>
      </c>
      <c r="K81" s="178">
        <f>Bodování!R108</f>
        <v>0</v>
      </c>
      <c r="L81" s="124" t="str">
        <f t="shared" si="2"/>
        <v>NEV</v>
      </c>
    </row>
  </sheetData>
  <sheetProtection/>
  <mergeCells count="1">
    <mergeCell ref="F6:H6"/>
  </mergeCells>
  <printOptions/>
  <pageMargins left="0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Jana</cp:lastModifiedBy>
  <cp:lastPrinted>2016-06-02T09:10:22Z</cp:lastPrinted>
  <dcterms:created xsi:type="dcterms:W3CDTF">2003-04-29T09:19:35Z</dcterms:created>
  <dcterms:modified xsi:type="dcterms:W3CDTF">2016-06-06T18:18:30Z</dcterms:modified>
  <cp:category/>
  <cp:version/>
  <cp:contentType/>
  <cp:contentStatus/>
</cp:coreProperties>
</file>