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8190" activeTab="0"/>
  </bookViews>
  <sheets>
    <sheet name="Bodování" sheetId="1" r:id="rId1"/>
    <sheet name="Družstva" sheetId="2" r:id="rId2"/>
    <sheet name="Jednotlivci" sheetId="3" r:id="rId3"/>
  </sheets>
  <definedNames/>
  <calcPr fullCalcOnLoad="1"/>
</workbook>
</file>

<file path=xl/sharedStrings.xml><?xml version="1.0" encoding="utf-8"?>
<sst xmlns="http://schemas.openxmlformats.org/spreadsheetml/2006/main" count="292" uniqueCount="119">
  <si>
    <r>
      <t>Řazení družstva :</t>
    </r>
    <r>
      <rPr>
        <sz val="10"/>
        <rFont val="Times New Roman CE"/>
        <family val="0"/>
      </rPr>
      <t xml:space="preserve"> na 1. až 3. místě výškařky, na 3. až 5. místě dálkařky</t>
    </r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</si>
  <si>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</si>
  <si>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</si>
  <si>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</si>
  <si>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</si>
  <si>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</si>
  <si>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</si>
  <si>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</si>
  <si>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</si>
  <si>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600m </t>
  </si>
  <si>
    <t>výška</t>
  </si>
  <si>
    <t xml:space="preserve">dálka </t>
  </si>
  <si>
    <t xml:space="preserve">míček </t>
  </si>
  <si>
    <t>Pořadí</t>
  </si>
  <si>
    <t>Družstvo</t>
  </si>
  <si>
    <t>Kraj</t>
  </si>
  <si>
    <t>Celk.bodů</t>
  </si>
  <si>
    <t>Jméno</t>
  </si>
  <si>
    <t>Škola</t>
  </si>
  <si>
    <t>celk.body</t>
  </si>
  <si>
    <t>60m</t>
  </si>
  <si>
    <t>600m</t>
  </si>
  <si>
    <t>dálka</t>
  </si>
  <si>
    <t>míček</t>
  </si>
  <si>
    <t>:</t>
  </si>
  <si>
    <t>Pomocný výpočet</t>
  </si>
  <si>
    <t>Data - Seřadit -</t>
  </si>
  <si>
    <r>
      <t>Setřídění tabulky :</t>
    </r>
    <r>
      <rPr>
        <sz val="10"/>
        <rFont val="Times New Roman CE"/>
        <family val="1"/>
      </rPr>
      <t xml:space="preserve"> označ blok  </t>
    </r>
    <r>
      <rPr>
        <b/>
        <sz val="10"/>
        <rFont val="Times New Roman CE"/>
        <family val="0"/>
      </rPr>
      <t>C5 - V74</t>
    </r>
  </si>
  <si>
    <r>
      <t xml:space="preserve">podle sloupce </t>
    </r>
    <r>
      <rPr>
        <b/>
        <sz val="10"/>
        <rFont val="Arial"/>
        <family val="2"/>
      </rPr>
      <t>G</t>
    </r>
    <r>
      <rPr>
        <b/>
        <sz val="10"/>
        <rFont val="Arial CE"/>
        <family val="0"/>
      </rPr>
      <t xml:space="preserve"> </t>
    </r>
    <r>
      <rPr>
        <sz val="10"/>
        <rFont val="Arial"/>
        <family val="0"/>
      </rPr>
      <t>- sestupně</t>
    </r>
  </si>
  <si>
    <t>AČ 2004 KŠ</t>
  </si>
  <si>
    <t>Heslo : pr</t>
  </si>
  <si>
    <t>el=0</t>
  </si>
  <si>
    <t>VYS</t>
  </si>
  <si>
    <t>ZŠ Oslavická V. Meziříčí</t>
  </si>
  <si>
    <t>ZŠ Nádražní Bystřice n. P.</t>
  </si>
  <si>
    <t>A06</t>
  </si>
  <si>
    <t>A07</t>
  </si>
  <si>
    <t>A08</t>
  </si>
  <si>
    <t>A09</t>
  </si>
  <si>
    <t>A10</t>
  </si>
  <si>
    <t>pořadí</t>
  </si>
  <si>
    <t>ZŠ Školní Velké Meziříčí</t>
  </si>
  <si>
    <t>ZŠ Velká Bíteš</t>
  </si>
  <si>
    <t>ZŠ T.G.M. Bystřice n. P.</t>
  </si>
  <si>
    <t>2. ZŠ Žďár nad Sázavou</t>
  </si>
  <si>
    <t>Matyášová Leona</t>
  </si>
  <si>
    <t>Mašterová Eliška</t>
  </si>
  <si>
    <t>Jamshidogholdori Selin</t>
  </si>
  <si>
    <t>Gymnázium Bystřice n. P.</t>
  </si>
  <si>
    <t>Svobodová Andrea</t>
  </si>
  <si>
    <t>Mifková Tereza</t>
  </si>
  <si>
    <t>Flesarová Ema</t>
  </si>
  <si>
    <t>Rosecká Lucie</t>
  </si>
  <si>
    <t>ZŠ Švermova Žďár n. S.</t>
  </si>
  <si>
    <t>MLADŠÍ  ŽÁKYNĚ   Atletický čtyřboj 2016</t>
  </si>
  <si>
    <t>Vránová Iva</t>
  </si>
  <si>
    <t>Kubíková Natálie</t>
  </si>
  <si>
    <t>Neuerová Nikola</t>
  </si>
  <si>
    <t>Štorková Jana</t>
  </si>
  <si>
    <t>Strašilová Ladislava</t>
  </si>
  <si>
    <t>Skoumalová Sabina</t>
  </si>
  <si>
    <t>Svobodová Sára</t>
  </si>
  <si>
    <t>ZŠ Měřín</t>
  </si>
  <si>
    <t>Krčálová Hana</t>
  </si>
  <si>
    <t>Lírová Eliška</t>
  </si>
  <si>
    <t>Veselá Jana</t>
  </si>
  <si>
    <t>Smažilová Tereza</t>
  </si>
  <si>
    <t>Koudelová Hana</t>
  </si>
  <si>
    <t>Padyšáková Sofie</t>
  </si>
  <si>
    <t>Ventrubová Aneta</t>
  </si>
  <si>
    <t>Svobodová Dominika</t>
  </si>
  <si>
    <t>Dočkalová Natálie</t>
  </si>
  <si>
    <t>Švihálková Vendula</t>
  </si>
  <si>
    <t>Pálková Pavlína</t>
  </si>
  <si>
    <t>Halasová Klára</t>
  </si>
  <si>
    <t>Dufková Petra</t>
  </si>
  <si>
    <t>Vičarová Eliška</t>
  </si>
  <si>
    <t>Podsedníková Zita</t>
  </si>
  <si>
    <t>Dvořáková Kristin</t>
  </si>
  <si>
    <t>Malcová Natálie</t>
  </si>
  <si>
    <t>Pitříková Aneta</t>
  </si>
  <si>
    <t>Stará Tereza</t>
  </si>
  <si>
    <t>Pavlidu Sára</t>
  </si>
  <si>
    <t>Šimonová Leontina</t>
  </si>
  <si>
    <t>Šejnohová Nikola</t>
  </si>
  <si>
    <t>Pokorná Helena</t>
  </si>
  <si>
    <t>Hanáková Klára</t>
  </si>
  <si>
    <t>Bauerová Aneta</t>
  </si>
  <si>
    <t>Krejčí Lucie</t>
  </si>
  <si>
    <t>Poulová Anna</t>
  </si>
  <si>
    <t>Kršková Anna Marie</t>
  </si>
  <si>
    <t>Gymnázium Velké Meziříčí</t>
  </si>
  <si>
    <t>Marková Kateřina</t>
  </si>
  <si>
    <t>Podrábská Věra</t>
  </si>
  <si>
    <t>Rašovská Zuzana</t>
  </si>
  <si>
    <t>ZŠ Sokolovská V. Meziříčí</t>
  </si>
  <si>
    <t>Hrubá Karolína</t>
  </si>
  <si>
    <t>Drápelová Kateřina</t>
  </si>
  <si>
    <t>Kuřátková Klára</t>
  </si>
  <si>
    <t>Havlátová Zuzana</t>
  </si>
  <si>
    <t>Gymnázium Žďár n. S.</t>
  </si>
  <si>
    <t>Matýsková Soňa</t>
  </si>
  <si>
    <t>Gruntová Berenika</t>
  </si>
  <si>
    <t>Hájková Tereza</t>
  </si>
  <si>
    <t>Nováková Alžběta</t>
  </si>
  <si>
    <t>Peňázová Vendula</t>
  </si>
  <si>
    <t>1. ZŠ Nové Město na Mor.</t>
  </si>
  <si>
    <t>Rousová Aneta</t>
  </si>
  <si>
    <t>Puškášová Gabriela</t>
  </si>
  <si>
    <t>Dvořáková Magda</t>
  </si>
  <si>
    <t>Havlíková Nikola</t>
  </si>
  <si>
    <t>Mojžíšová Simona</t>
  </si>
  <si>
    <t>Mašková Kateřina</t>
  </si>
  <si>
    <t>Burešová Lucie</t>
  </si>
  <si>
    <t>Bajerová Adéla</t>
  </si>
  <si>
    <t>Pospíšilová Klára</t>
  </si>
  <si>
    <t>MLADŠÍ  ŽÁKYNĚ   Atletický čtyřboj  ( 2.6.2016 ve Žďáře nad Sázavou )</t>
  </si>
  <si>
    <t>MLADŠÍ  ŽÁKYNĚ   Atletický čtyřboj ( 2.6.2016 ve Žďáře nad Sázavou )</t>
  </si>
  <si>
    <t>XXX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</si>
</sst>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  <numFmt numFmtId="169" formatCode="00.000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u val="single"/>
      <sz val="12"/>
      <name val="Times New Roman CE"/>
      <family val="1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0" fillId="0" borderId="12" xfId="0" applyBorder="1" applyAlignment="1">
      <alignment/>
    </xf>
    <xf numFmtId="0" fontId="4" fillId="3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2" borderId="15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32" borderId="17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 quotePrefix="1">
      <alignment/>
    </xf>
    <xf numFmtId="166" fontId="6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164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166" fontId="6" fillId="0" borderId="20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8" fillId="0" borderId="25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" fontId="6" fillId="0" borderId="35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1" fontId="6" fillId="0" borderId="37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38" xfId="0" applyFont="1" applyBorder="1" applyAlignment="1">
      <alignment/>
    </xf>
    <xf numFmtId="0" fontId="0" fillId="0" borderId="39" xfId="0" applyBorder="1" applyAlignment="1" applyProtection="1">
      <alignment/>
      <protection locked="0"/>
    </xf>
    <xf numFmtId="0" fontId="0" fillId="33" borderId="39" xfId="0" applyFill="1" applyBorder="1" applyAlignment="1">
      <alignment/>
    </xf>
    <xf numFmtId="2" fontId="0" fillId="33" borderId="39" xfId="0" applyNumberForma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0" borderId="39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167" fontId="1" fillId="4" borderId="12" xfId="0" applyNumberFormat="1" applyFont="1" applyFill="1" applyBorder="1" applyAlignment="1">
      <alignment horizontal="right"/>
    </xf>
    <xf numFmtId="1" fontId="5" fillId="4" borderId="41" xfId="0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2" fontId="1" fillId="4" borderId="13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0" fillId="4" borderId="12" xfId="0" applyFill="1" applyBorder="1" applyAlignment="1">
      <alignment/>
    </xf>
    <xf numFmtId="1" fontId="6" fillId="4" borderId="41" xfId="0" applyNumberFormat="1" applyFont="1" applyFill="1" applyBorder="1" applyAlignment="1">
      <alignment horizontal="right"/>
    </xf>
    <xf numFmtId="0" fontId="4" fillId="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167" fontId="1" fillId="34" borderId="21" xfId="0" applyNumberFormat="1" applyFont="1" applyFill="1" applyBorder="1" applyAlignment="1">
      <alignment horizontal="right"/>
    </xf>
    <xf numFmtId="167" fontId="1" fillId="34" borderId="20" xfId="0" applyNumberFormat="1" applyFont="1" applyFill="1" applyBorder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34" borderId="16" xfId="0" applyNumberFormat="1" applyFont="1" applyFill="1" applyBorder="1" applyAlignment="1">
      <alignment horizontal="right"/>
    </xf>
    <xf numFmtId="0" fontId="1" fillId="34" borderId="38" xfId="0" applyFont="1" applyFill="1" applyBorder="1" applyAlignment="1">
      <alignment horizontal="right"/>
    </xf>
    <xf numFmtId="0" fontId="1" fillId="34" borderId="42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43" xfId="0" applyFont="1" applyFill="1" applyBorder="1" applyAlignment="1">
      <alignment horizontal="right"/>
    </xf>
    <xf numFmtId="2" fontId="1" fillId="34" borderId="38" xfId="0" applyNumberFormat="1" applyFont="1" applyFill="1" applyBorder="1" applyAlignment="1">
      <alignment horizontal="right"/>
    </xf>
    <xf numFmtId="2" fontId="1" fillId="34" borderId="42" xfId="0" applyNumberFormat="1" applyFont="1" applyFill="1" applyBorder="1" applyAlignment="1">
      <alignment horizontal="right"/>
    </xf>
    <xf numFmtId="2" fontId="1" fillId="34" borderId="11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32" borderId="22" xfId="0" applyFont="1" applyFill="1" applyBorder="1" applyAlignment="1">
      <alignment/>
    </xf>
    <xf numFmtId="0" fontId="0" fillId="0" borderId="18" xfId="0" applyBorder="1" applyAlignment="1">
      <alignment horizontal="center"/>
    </xf>
    <xf numFmtId="14" fontId="6" fillId="0" borderId="18" xfId="0" applyNumberFormat="1" applyFont="1" applyBorder="1" applyAlignment="1" quotePrefix="1">
      <alignment/>
    </xf>
    <xf numFmtId="1" fontId="6" fillId="0" borderId="18" xfId="0" applyNumberFormat="1" applyFont="1" applyBorder="1" applyAlignment="1" quotePrefix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1" fontId="6" fillId="0" borderId="18" xfId="0" applyNumberFormat="1" applyFont="1" applyBorder="1" applyAlignment="1" quotePrefix="1">
      <alignment horizontal="center"/>
    </xf>
    <xf numFmtId="1" fontId="4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4" fontId="6" fillId="0" borderId="20" xfId="0" applyNumberFormat="1" applyFont="1" applyBorder="1" applyAlignment="1">
      <alignment/>
    </xf>
    <xf numFmtId="1" fontId="5" fillId="0" borderId="20" xfId="0" applyNumberFormat="1" applyFont="1" applyBorder="1" applyAlignment="1" quotePrefix="1">
      <alignment/>
    </xf>
    <xf numFmtId="0" fontId="0" fillId="0" borderId="20" xfId="0" applyBorder="1" applyAlignment="1">
      <alignment/>
    </xf>
    <xf numFmtId="2" fontId="5" fillId="0" borderId="18" xfId="0" applyNumberFormat="1" applyFont="1" applyBorder="1" applyAlignment="1" quotePrefix="1">
      <alignment/>
    </xf>
    <xf numFmtId="2" fontId="0" fillId="0" borderId="18" xfId="0" applyNumberFormat="1" applyBorder="1" applyAlignment="1">
      <alignment/>
    </xf>
    <xf numFmtId="167" fontId="5" fillId="0" borderId="20" xfId="0" applyNumberFormat="1" applyFont="1" applyBorder="1" applyAlignment="1" quotePrefix="1">
      <alignment horizontal="left"/>
    </xf>
    <xf numFmtId="167" fontId="0" fillId="0" borderId="20" xfId="0" applyNumberFormat="1" applyBorder="1" applyAlignment="1">
      <alignment horizontal="left"/>
    </xf>
    <xf numFmtId="1" fontId="5" fillId="0" borderId="18" xfId="0" applyNumberFormat="1" applyFont="1" applyBorder="1" applyAlignment="1" quotePrefix="1">
      <alignment horizontal="center"/>
    </xf>
    <xf numFmtId="2" fontId="5" fillId="0" borderId="18" xfId="0" applyNumberFormat="1" applyFont="1" applyBorder="1" applyAlignment="1" quotePrefix="1">
      <alignment horizontal="center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164" fontId="1" fillId="34" borderId="44" xfId="0" applyNumberFormat="1" applyFont="1" applyFill="1" applyBorder="1" applyAlignment="1">
      <alignment horizontal="right"/>
    </xf>
    <xf numFmtId="164" fontId="1" fillId="34" borderId="45" xfId="0" applyNumberFormat="1" applyFont="1" applyFill="1" applyBorder="1" applyAlignment="1">
      <alignment horizontal="right"/>
    </xf>
    <xf numFmtId="164" fontId="1" fillId="34" borderId="46" xfId="0" applyNumberFormat="1" applyFont="1" applyFill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33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0" borderId="31" xfId="0" applyBorder="1" applyAlignment="1">
      <alignment/>
    </xf>
    <xf numFmtId="167" fontId="1" fillId="34" borderId="21" xfId="0" applyNumberFormat="1" applyFont="1" applyFill="1" applyBorder="1" applyAlignment="1">
      <alignment horizontal="center"/>
    </xf>
    <xf numFmtId="167" fontId="1" fillId="34" borderId="20" xfId="0" applyNumberFormat="1" applyFont="1" applyFill="1" applyBorder="1" applyAlignment="1">
      <alignment horizontal="center"/>
    </xf>
    <xf numFmtId="167" fontId="1" fillId="34" borderId="0" xfId="0" applyNumberFormat="1" applyFont="1" applyFill="1" applyBorder="1" applyAlignment="1">
      <alignment horizontal="center"/>
    </xf>
    <xf numFmtId="167" fontId="1" fillId="34" borderId="16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32" borderId="15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3" fillId="32" borderId="17" xfId="0" applyNumberFormat="1" applyFont="1" applyFill="1" applyBorder="1" applyAlignment="1">
      <alignment horizontal="right"/>
    </xf>
    <xf numFmtId="0" fontId="3" fillId="32" borderId="16" xfId="0" applyNumberFormat="1" applyFont="1" applyFill="1" applyBorder="1" applyAlignment="1">
      <alignment horizontal="left"/>
    </xf>
    <xf numFmtId="0" fontId="5" fillId="0" borderId="42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8" xfId="0" applyFont="1" applyBorder="1" applyAlignment="1">
      <alignment horizontal="center"/>
    </xf>
    <xf numFmtId="14" fontId="14" fillId="0" borderId="18" xfId="0" applyNumberFormat="1" applyFont="1" applyBorder="1" applyAlignment="1" quotePrefix="1">
      <alignment/>
    </xf>
    <xf numFmtId="14" fontId="14" fillId="0" borderId="18" xfId="0" applyNumberFormat="1" applyFont="1" applyBorder="1" applyAlignment="1" quotePrefix="1">
      <alignment horizontal="center"/>
    </xf>
    <xf numFmtId="1" fontId="14" fillId="0" borderId="18" xfId="0" applyNumberFormat="1" applyFont="1" applyBorder="1" applyAlignment="1" quotePrefix="1">
      <alignment horizontal="center"/>
    </xf>
    <xf numFmtId="0" fontId="12" fillId="0" borderId="18" xfId="0" applyFont="1" applyBorder="1" applyAlignment="1">
      <alignment/>
    </xf>
    <xf numFmtId="0" fontId="15" fillId="0" borderId="18" xfId="0" applyFont="1" applyBorder="1" applyAlignment="1">
      <alignment/>
    </xf>
    <xf numFmtId="1" fontId="1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Alignment="1" quotePrefix="1">
      <alignment/>
    </xf>
    <xf numFmtId="167" fontId="0" fillId="0" borderId="0" xfId="0" applyNumberFormat="1" applyBorder="1" applyAlignment="1">
      <alignment horizontal="left"/>
    </xf>
    <xf numFmtId="167" fontId="5" fillId="0" borderId="0" xfId="0" applyNumberFormat="1" applyFont="1" applyAlignment="1" quotePrefix="1">
      <alignment horizontal="left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1" fontId="0" fillId="0" borderId="20" xfId="0" applyNumberFormat="1" applyBorder="1" applyAlignment="1">
      <alignment/>
    </xf>
    <xf numFmtId="167" fontId="0" fillId="0" borderId="19" xfId="0" applyNumberFormat="1" applyBorder="1" applyAlignment="1">
      <alignment horizontal="left"/>
    </xf>
    <xf numFmtId="2" fontId="0" fillId="0" borderId="52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0" fillId="0" borderId="21" xfId="0" applyBorder="1" applyAlignment="1">
      <alignment/>
    </xf>
    <xf numFmtId="0" fontId="4" fillId="32" borderId="31" xfId="0" applyFont="1" applyFill="1" applyBorder="1" applyAlignment="1">
      <alignment/>
    </xf>
    <xf numFmtId="0" fontId="3" fillId="32" borderId="21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16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32" borderId="21" xfId="0" applyNumberFormat="1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1" fillId="32" borderId="53" xfId="0" applyFont="1" applyFill="1" applyBorder="1" applyAlignment="1">
      <alignment/>
    </xf>
    <xf numFmtId="0" fontId="3" fillId="32" borderId="15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17" xfId="0" applyNumberFormat="1" applyFont="1" applyFill="1" applyBorder="1" applyAlignment="1">
      <alignment horizontal="left"/>
    </xf>
    <xf numFmtId="164" fontId="1" fillId="34" borderId="49" xfId="0" applyNumberFormat="1" applyFont="1" applyFill="1" applyBorder="1" applyAlignment="1">
      <alignment horizontal="right"/>
    </xf>
    <xf numFmtId="164" fontId="1" fillId="34" borderId="48" xfId="0" applyNumberFormat="1" applyFont="1" applyFill="1" applyBorder="1" applyAlignment="1">
      <alignment horizontal="right"/>
    </xf>
    <xf numFmtId="164" fontId="1" fillId="34" borderId="2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4" borderId="40" xfId="0" applyNumberFormat="1" applyFont="1" applyFill="1" applyBorder="1" applyAlignment="1">
      <alignment/>
    </xf>
    <xf numFmtId="164" fontId="1" fillId="34" borderId="54" xfId="0" applyNumberFormat="1" applyFont="1" applyFill="1" applyBorder="1" applyAlignment="1">
      <alignment horizontal="right"/>
    </xf>
    <xf numFmtId="164" fontId="7" fillId="34" borderId="54" xfId="0" applyNumberFormat="1" applyFont="1" applyFill="1" applyBorder="1" applyAlignment="1">
      <alignment horizontal="right"/>
    </xf>
    <xf numFmtId="164" fontId="7" fillId="34" borderId="24" xfId="0" applyNumberFormat="1" applyFont="1" applyFill="1" applyBorder="1" applyAlignment="1">
      <alignment horizontal="right"/>
    </xf>
    <xf numFmtId="2" fontId="5" fillId="0" borderId="52" xfId="0" applyNumberFormat="1" applyFont="1" applyBorder="1" applyAlignment="1" quotePrefix="1">
      <alignment/>
    </xf>
    <xf numFmtId="2" fontId="5" fillId="0" borderId="50" xfId="0" applyNumberFormat="1" applyFont="1" applyBorder="1" applyAlignment="1" quotePrefix="1">
      <alignment/>
    </xf>
    <xf numFmtId="1" fontId="0" fillId="0" borderId="0" xfId="0" applyNumberFormat="1" applyBorder="1" applyAlignment="1">
      <alignment/>
    </xf>
    <xf numFmtId="167" fontId="5" fillId="0" borderId="19" xfId="0" applyNumberFormat="1" applyFont="1" applyBorder="1" applyAlignment="1" quotePrefix="1">
      <alignment horizontal="left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14" fontId="52" fillId="0" borderId="18" xfId="0" applyNumberFormat="1" applyFont="1" applyBorder="1" applyAlignment="1" quotePrefix="1">
      <alignment/>
    </xf>
    <xf numFmtId="1" fontId="53" fillId="0" borderId="18" xfId="0" applyNumberFormat="1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10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99" sqref="C99"/>
    </sheetView>
  </sheetViews>
  <sheetFormatPr defaultColWidth="9.140625" defaultRowHeight="12.75"/>
  <cols>
    <col min="1" max="1" width="6.140625" style="0" customWidth="1"/>
    <col min="2" max="2" width="5.421875" style="0" customWidth="1"/>
    <col min="3" max="3" width="22.421875" style="0" customWidth="1"/>
    <col min="4" max="4" width="3.8515625" style="0" customWidth="1"/>
    <col min="5" max="5" width="4.421875" style="0" customWidth="1"/>
    <col min="6" max="6" width="8.421875" style="0" customWidth="1"/>
    <col min="7" max="7" width="5.57421875" style="0" hidden="1" customWidth="1"/>
    <col min="8" max="8" width="5.00390625" style="0" customWidth="1"/>
    <col min="9" max="9" width="5.7109375" style="0" customWidth="1"/>
    <col min="10" max="10" width="2.28125" style="0" customWidth="1"/>
    <col min="11" max="11" width="1.28515625" style="0" customWidth="1"/>
    <col min="12" max="13" width="5.8515625" style="0" customWidth="1"/>
    <col min="14" max="14" width="7.28125" style="0" customWidth="1"/>
    <col min="15" max="15" width="6.140625" style="0" customWidth="1"/>
    <col min="16" max="16" width="6.8515625" style="0" customWidth="1"/>
    <col min="17" max="17" width="5.8515625" style="0" customWidth="1"/>
    <col min="18" max="18" width="6.8515625" style="0" customWidth="1"/>
    <col min="19" max="19" width="6.7109375" style="0" customWidth="1"/>
    <col min="21" max="21" width="7.8515625" style="0" hidden="1" customWidth="1"/>
    <col min="22" max="22" width="6.00390625" style="0" hidden="1" customWidth="1"/>
    <col min="23" max="23" width="11.421875" style="0" bestFit="1" customWidth="1"/>
    <col min="24" max="24" width="11.28125" style="0" customWidth="1"/>
  </cols>
  <sheetData>
    <row r="1" spans="1:21" ht="15.75">
      <c r="A1" s="1"/>
      <c r="B1" s="2" t="s">
        <v>31</v>
      </c>
      <c r="C1" s="3" t="s">
        <v>54</v>
      </c>
      <c r="D1" s="4"/>
      <c r="E1" s="4"/>
      <c r="F1" s="2"/>
      <c r="G1" s="2"/>
      <c r="H1" s="5"/>
      <c r="I1" s="61" t="s">
        <v>29</v>
      </c>
      <c r="J1" s="1"/>
      <c r="L1" s="62" t="s">
        <v>27</v>
      </c>
      <c r="M1" s="63"/>
      <c r="N1" s="63"/>
      <c r="O1" s="63"/>
      <c r="P1" s="63"/>
      <c r="Q1" s="63"/>
      <c r="R1" s="63"/>
      <c r="S1" s="64" t="s">
        <v>30</v>
      </c>
      <c r="T1" s="64"/>
      <c r="U1" s="72"/>
    </row>
    <row r="2" spans="1:21" ht="12.75">
      <c r="A2" s="1"/>
      <c r="B2" s="2"/>
      <c r="C2" s="3" t="s">
        <v>0</v>
      </c>
      <c r="D2" s="4"/>
      <c r="E2" s="4"/>
      <c r="F2" s="2"/>
      <c r="G2" s="2"/>
      <c r="H2" s="5"/>
      <c r="I2" s="5"/>
      <c r="J2" s="1"/>
      <c r="L2" s="65" t="s">
        <v>26</v>
      </c>
      <c r="M2" s="63"/>
      <c r="N2" s="63"/>
      <c r="O2" s="63"/>
      <c r="P2" s="63"/>
      <c r="Q2" s="63"/>
      <c r="R2" s="63"/>
      <c r="S2" s="1"/>
      <c r="T2" s="1"/>
      <c r="U2" s="1"/>
    </row>
    <row r="3" spans="1:21" ht="12.75">
      <c r="A3" s="1"/>
      <c r="B3" s="2"/>
      <c r="C3" s="3"/>
      <c r="D3" s="4"/>
      <c r="E3" s="4"/>
      <c r="F3" s="2"/>
      <c r="G3" s="2"/>
      <c r="H3" s="5"/>
      <c r="I3" s="66"/>
      <c r="J3" s="67"/>
      <c r="L3" s="68" t="s">
        <v>28</v>
      </c>
      <c r="M3" s="69"/>
      <c r="N3" s="69"/>
      <c r="O3" s="68"/>
      <c r="P3" s="68"/>
      <c r="Q3" s="70"/>
      <c r="R3" s="70"/>
      <c r="S3" s="71"/>
      <c r="T3" s="1"/>
      <c r="U3" s="71"/>
    </row>
    <row r="4" spans="1:21" ht="13.5" thickBot="1">
      <c r="A4" s="1" t="s">
        <v>1</v>
      </c>
      <c r="B4" s="128" t="s">
        <v>2</v>
      </c>
      <c r="C4" s="129" t="s">
        <v>3</v>
      </c>
      <c r="D4" s="130" t="s">
        <v>4</v>
      </c>
      <c r="E4" s="130" t="s">
        <v>5</v>
      </c>
      <c r="F4" s="29" t="s">
        <v>6</v>
      </c>
      <c r="G4" s="34"/>
      <c r="H4" s="6" t="s">
        <v>7</v>
      </c>
      <c r="I4" s="50" t="s">
        <v>8</v>
      </c>
      <c r="J4" s="216" t="s">
        <v>9</v>
      </c>
      <c r="K4" s="217"/>
      <c r="L4" s="217"/>
      <c r="M4" s="51" t="s">
        <v>8</v>
      </c>
      <c r="N4" s="6" t="s">
        <v>10</v>
      </c>
      <c r="O4" s="51" t="s">
        <v>8</v>
      </c>
      <c r="P4" s="6" t="s">
        <v>11</v>
      </c>
      <c r="Q4" s="50" t="s">
        <v>8</v>
      </c>
      <c r="R4" s="6" t="s">
        <v>12</v>
      </c>
      <c r="S4" s="52" t="s">
        <v>8</v>
      </c>
      <c r="T4" s="35"/>
      <c r="U4" s="22" t="s">
        <v>25</v>
      </c>
    </row>
    <row r="5" spans="1:19" ht="13.5" thickBot="1">
      <c r="A5" s="131">
        <f>Družstva!A9</f>
        <v>1</v>
      </c>
      <c r="B5" s="103">
        <v>1</v>
      </c>
      <c r="C5" s="8" t="s">
        <v>53</v>
      </c>
      <c r="D5" s="9"/>
      <c r="E5" s="10" t="s">
        <v>32</v>
      </c>
      <c r="F5" s="44">
        <f>SUM(F6:F10)-MIN(F6:F10)</f>
        <v>4749</v>
      </c>
      <c r="G5" s="36">
        <f>F5</f>
        <v>4749</v>
      </c>
      <c r="H5" s="73"/>
      <c r="I5" s="74"/>
      <c r="J5" s="75"/>
      <c r="K5" s="74"/>
      <c r="L5" s="76"/>
      <c r="M5" s="77"/>
      <c r="N5" s="78"/>
      <c r="O5" s="74"/>
      <c r="P5" s="78"/>
      <c r="Q5" s="74"/>
      <c r="R5" s="79"/>
      <c r="S5" s="80"/>
    </row>
    <row r="6" spans="1:22" ht="13.5" thickBot="1">
      <c r="A6" s="132"/>
      <c r="B6" s="11">
        <f>Jednotlivci!L7</f>
        <v>1</v>
      </c>
      <c r="C6" s="12" t="s">
        <v>57</v>
      </c>
      <c r="D6" s="133"/>
      <c r="E6" s="134"/>
      <c r="F6" s="39">
        <f>I6+M6+O6+Q6+S6</f>
        <v>1032</v>
      </c>
      <c r="G6" s="36">
        <f>F5</f>
        <v>4749</v>
      </c>
      <c r="H6" s="200">
        <v>9.2</v>
      </c>
      <c r="I6" s="45">
        <f>IF(AND(H6&gt;6.8,H6&lt;12.8),IF($B$5=1,ROUNDDOWN(46.0849*(12.76-H6)^1.81,0),ROUNDDOWN(46.0849*(13-H6)^1.81,)),0)</f>
        <v>458</v>
      </c>
      <c r="J6" s="86">
        <v>2</v>
      </c>
      <c r="K6" s="32" t="s">
        <v>24</v>
      </c>
      <c r="L6" s="90">
        <v>10.26</v>
      </c>
      <c r="M6" s="57">
        <f>V6</f>
        <v>368</v>
      </c>
      <c r="N6" s="97">
        <v>0</v>
      </c>
      <c r="O6" s="45">
        <f>IF(AND(N6&gt;75),ROUNDDOWN(1.84523*(N6-75)^1.348,0),0)</f>
        <v>0</v>
      </c>
      <c r="P6" s="97"/>
      <c r="Q6" s="45">
        <f>IF(AND(P6&gt;210),ROUNDDOWN(0.188807*(P6-210)^1.41,0),0)</f>
        <v>0</v>
      </c>
      <c r="R6" s="101">
        <v>27.5</v>
      </c>
      <c r="S6" s="53">
        <f>IF(AND(R6&gt;7.95),ROUNDDOWN(7.86*(R6-7.95)^1.1,0),0)</f>
        <v>206</v>
      </c>
      <c r="U6" s="24">
        <f>J6*60+L6</f>
        <v>130.26</v>
      </c>
      <c r="V6" s="25">
        <f>IF(U6&gt;0,(INT(POWER(185-U6,1.88)*0.19889)),0)</f>
        <v>368</v>
      </c>
    </row>
    <row r="7" spans="1:22" ht="13.5" thickBot="1">
      <c r="A7" s="135"/>
      <c r="B7" s="11">
        <f>Jednotlivci!L8</f>
        <v>2</v>
      </c>
      <c r="C7" s="13" t="s">
        <v>55</v>
      </c>
      <c r="D7" s="133"/>
      <c r="E7" s="134"/>
      <c r="F7" s="40">
        <f>I7+M7+O7+Q7+S7</f>
        <v>1259</v>
      </c>
      <c r="G7" s="36">
        <f>F5</f>
        <v>4749</v>
      </c>
      <c r="H7" s="125">
        <v>9.3</v>
      </c>
      <c r="I7" s="46">
        <f>IF(AND(H7&gt;6.8,H7&lt;12.8),IF($B$5=1,ROUNDDOWN(46.0849*(12.76-H7)^1.81,0),ROUNDDOWN(46.0849*(13-H7)^1.81,)),0)</f>
        <v>435</v>
      </c>
      <c r="J7" s="87">
        <v>2</v>
      </c>
      <c r="K7" s="30" t="s">
        <v>24</v>
      </c>
      <c r="L7" s="91">
        <v>7.57</v>
      </c>
      <c r="M7" s="58">
        <f>V7</f>
        <v>403</v>
      </c>
      <c r="N7" s="95">
        <v>115</v>
      </c>
      <c r="O7" s="46">
        <f>IF(AND(N7&gt;75),ROUNDDOWN(1.84523*(N7-75)^1.348,0),0)</f>
        <v>266</v>
      </c>
      <c r="P7" s="95"/>
      <c r="Q7" s="46">
        <f>IF(AND(P7&gt;210),ROUNDDOWN(0.188807*(P7-210)^1.41,0),0)</f>
        <v>0</v>
      </c>
      <c r="R7" s="99">
        <v>23</v>
      </c>
      <c r="S7" s="54">
        <f>IF(AND(R7&gt;7.95),ROUNDDOWN(7.86*(R7-7.95)^1.1,0),0)</f>
        <v>155</v>
      </c>
      <c r="U7" s="24">
        <f>J7*60+L7</f>
        <v>127.57</v>
      </c>
      <c r="V7" s="25">
        <f>IF(U7&gt;0,(INT(POWER(185-U7,1.88)*0.19889)),0)</f>
        <v>403</v>
      </c>
    </row>
    <row r="8" spans="1:22" ht="13.5" thickBot="1">
      <c r="A8" s="135"/>
      <c r="B8" s="11">
        <f>Jednotlivci!L9</f>
        <v>3</v>
      </c>
      <c r="C8" s="13" t="s">
        <v>56</v>
      </c>
      <c r="D8" s="133"/>
      <c r="E8" s="134"/>
      <c r="F8" s="40">
        <f>I8+M8+O8+Q8+S8</f>
        <v>1213</v>
      </c>
      <c r="G8" s="36">
        <f>F5</f>
        <v>4749</v>
      </c>
      <c r="H8" s="201">
        <v>9.3</v>
      </c>
      <c r="I8" s="47">
        <f>IF(AND(H8&gt;6.8,H8&lt;12.8),IF($B$5=1,ROUNDDOWN(46.0849*(12.76-H8)^1.81,0),ROUNDDOWN(46.0849*(13-H8)^1.81,)),0)</f>
        <v>435</v>
      </c>
      <c r="J8" s="88">
        <v>2</v>
      </c>
      <c r="K8" s="20">
        <v>15.61</v>
      </c>
      <c r="L8" s="92">
        <v>15.61</v>
      </c>
      <c r="M8" s="59">
        <f>V8</f>
        <v>303</v>
      </c>
      <c r="N8" s="95"/>
      <c r="O8" s="47">
        <f>IF(AND(N8&gt;75),ROUNDDOWN(1.84523*(N8-75)^1.348,0),0)</f>
        <v>0</v>
      </c>
      <c r="P8" s="95">
        <v>358</v>
      </c>
      <c r="Q8" s="47">
        <f>IF(AND(P8&gt;210),ROUNDDOWN(0.188807*(P8-210)^1.41,0),0)</f>
        <v>216</v>
      </c>
      <c r="R8" s="99">
        <v>32</v>
      </c>
      <c r="S8" s="55">
        <f>IF(AND(R8&gt;7.95),ROUNDDOWN(7.86*(R8-7.95)^1.1,0),0)</f>
        <v>259</v>
      </c>
      <c r="U8" s="24">
        <f>J8*60+L8</f>
        <v>135.61</v>
      </c>
      <c r="V8" s="25">
        <f>IF(U8&gt;0,(INT(POWER(185-U8,1.88)*0.19889)),0)</f>
        <v>303</v>
      </c>
    </row>
    <row r="9" spans="1:22" ht="13.5" thickBot="1">
      <c r="A9" s="135"/>
      <c r="B9" s="11">
        <f>Jednotlivci!L10</f>
        <v>4</v>
      </c>
      <c r="C9" s="13" t="s">
        <v>58</v>
      </c>
      <c r="D9" s="133"/>
      <c r="E9" s="134"/>
      <c r="F9" s="40">
        <f>I9+M9+O9+Q9+S9</f>
        <v>1245</v>
      </c>
      <c r="G9" s="36">
        <f>F5</f>
        <v>4749</v>
      </c>
      <c r="H9" s="125">
        <v>9.1</v>
      </c>
      <c r="I9" s="46">
        <f>IF(AND(H9&gt;6.8,H9&lt;12.8),IF($B$5=1,ROUNDDOWN(46.0849*(12.76-H9)^1.81,0),ROUNDDOWN(46.0849*(13-H9)^1.81,)),0)</f>
        <v>482</v>
      </c>
      <c r="J9" s="87">
        <v>2</v>
      </c>
      <c r="K9" s="30" t="s">
        <v>24</v>
      </c>
      <c r="L9" s="91">
        <v>4.8</v>
      </c>
      <c r="M9" s="58">
        <f>V9</f>
        <v>440</v>
      </c>
      <c r="N9" s="95"/>
      <c r="O9" s="46">
        <f>IF(AND(N9&gt;75),ROUNDDOWN(1.84523*(N9-75)^1.348,0),0)</f>
        <v>0</v>
      </c>
      <c r="P9" s="95">
        <v>367</v>
      </c>
      <c r="Q9" s="46">
        <f>IF(AND(P9&gt;210),ROUNDDOWN(0.188807*(P9-210)^1.41,0),0)</f>
        <v>235</v>
      </c>
      <c r="R9" s="99">
        <v>17</v>
      </c>
      <c r="S9" s="54">
        <f>IF(AND(R9&gt;7.95),ROUNDDOWN(7.86*(R9-7.95)^1.1,0),0)</f>
        <v>88</v>
      </c>
      <c r="U9" s="24">
        <f>J9*60+L9</f>
        <v>124.8</v>
      </c>
      <c r="V9" s="25">
        <f>IF(U9&gt;0,(INT(POWER(185-U9,1.88)*0.19889)),0)</f>
        <v>440</v>
      </c>
    </row>
    <row r="10" spans="1:22" ht="13.5" thickBot="1">
      <c r="A10" s="136"/>
      <c r="B10" s="14">
        <f>Jednotlivci!L11</f>
        <v>5</v>
      </c>
      <c r="C10" s="15"/>
      <c r="D10" s="16"/>
      <c r="E10" s="137"/>
      <c r="F10" s="41">
        <f>I10+M10+O10+Q10+S10</f>
        <v>0</v>
      </c>
      <c r="G10" s="36">
        <f>F5</f>
        <v>4749</v>
      </c>
      <c r="H10" s="202">
        <v>0</v>
      </c>
      <c r="I10" s="48">
        <f>IF(AND(H10&gt;6.8,H10&lt;12.8),IF($B$5=1,ROUNDDOWN(46.0849*(12.76-H10)^1.81,0),ROUNDDOWN(46.0849*(13-H10)^1.81,)),0)</f>
        <v>0</v>
      </c>
      <c r="J10" s="89">
        <v>0</v>
      </c>
      <c r="K10" s="31" t="s">
        <v>24</v>
      </c>
      <c r="L10" s="93">
        <v>0</v>
      </c>
      <c r="M10" s="60">
        <f>V10</f>
        <v>0</v>
      </c>
      <c r="N10" s="96"/>
      <c r="O10" s="48">
        <f>IF(AND(N10&gt;75),ROUNDDOWN(1.84523*(N10-75)^1.348,0),0)</f>
        <v>0</v>
      </c>
      <c r="P10" s="96">
        <v>0</v>
      </c>
      <c r="Q10" s="48">
        <f>IF(AND(P10&gt;210),ROUNDDOWN(0.188807*(P10-210)^1.41,0),0)</f>
        <v>0</v>
      </c>
      <c r="R10" s="100"/>
      <c r="S10" s="56">
        <f>IF(AND(R10&gt;7.95),ROUNDDOWN(7.86*(R10-7.95)^1.1,0),0)</f>
        <v>0</v>
      </c>
      <c r="U10" s="24">
        <f>J10*60+L10</f>
        <v>0</v>
      </c>
      <c r="V10" s="25">
        <f>IF(U10&gt;0,(INT(POWER(185-U10,1.88)*0.19889)),0)</f>
        <v>0</v>
      </c>
    </row>
    <row r="11" spans="6:19" ht="13.5" thickBot="1">
      <c r="F11" s="42"/>
      <c r="G11" s="36">
        <f>F5</f>
        <v>4749</v>
      </c>
      <c r="H11" s="203"/>
      <c r="I11" s="49"/>
      <c r="J11" s="38"/>
      <c r="K11" s="22"/>
      <c r="L11" s="21"/>
      <c r="M11" s="43"/>
      <c r="O11" s="49"/>
      <c r="Q11" s="49"/>
      <c r="S11" s="49"/>
    </row>
    <row r="12" spans="1:19" ht="13.5" thickBot="1">
      <c r="A12" s="7">
        <f>Družstva!A10</f>
        <v>2</v>
      </c>
      <c r="B12" s="33">
        <f>$B$5</f>
        <v>1</v>
      </c>
      <c r="C12" s="8" t="s">
        <v>48</v>
      </c>
      <c r="D12" s="9"/>
      <c r="E12" s="10" t="s">
        <v>32</v>
      </c>
      <c r="F12" s="44">
        <f>SUM(F13:F17)-MIN(F13:F17)</f>
        <v>5232</v>
      </c>
      <c r="G12" s="36">
        <f>F12</f>
        <v>5232</v>
      </c>
      <c r="H12" s="204"/>
      <c r="I12" s="81"/>
      <c r="J12" s="82"/>
      <c r="K12" s="83"/>
      <c r="L12" s="76"/>
      <c r="M12" s="84"/>
      <c r="N12" s="78"/>
      <c r="O12" s="81"/>
      <c r="P12" s="78"/>
      <c r="Q12" s="81"/>
      <c r="R12" s="79"/>
      <c r="S12" s="85"/>
    </row>
    <row r="13" spans="1:22" ht="13.5" thickBot="1">
      <c r="A13" s="138"/>
      <c r="B13" s="139">
        <f>Jednotlivci!L12</f>
        <v>6</v>
      </c>
      <c r="C13" s="12" t="s">
        <v>60</v>
      </c>
      <c r="D13" s="140"/>
      <c r="E13" s="141"/>
      <c r="F13" s="39">
        <f>I13+M13+O13+Q13+S13</f>
        <v>1325</v>
      </c>
      <c r="G13" s="36">
        <f>F12</f>
        <v>5232</v>
      </c>
      <c r="H13" s="126">
        <v>9.3</v>
      </c>
      <c r="I13" s="45">
        <f>IF(AND(H13&gt;6.8,H13&lt;12.8),IF($B$5=1,ROUNDDOWN(46.0849*(12.76-H13)^1.81,0),ROUNDDOWN(46.0849*(13-H13)^1.81,)),0)</f>
        <v>435</v>
      </c>
      <c r="J13" s="86">
        <v>2</v>
      </c>
      <c r="K13" s="32" t="s">
        <v>24</v>
      </c>
      <c r="L13" s="90">
        <v>15.29</v>
      </c>
      <c r="M13" s="57">
        <f>V13</f>
        <v>307</v>
      </c>
      <c r="N13" s="97">
        <v>120</v>
      </c>
      <c r="O13" s="45">
        <f>IF(AND(N13&gt;75),ROUNDDOWN(1.84523*(N13-75)^1.348,0),0)</f>
        <v>312</v>
      </c>
      <c r="P13" s="94">
        <v>0</v>
      </c>
      <c r="Q13" s="45">
        <f>IF(AND(P13&gt;210),ROUNDDOWN(0.188807*(P13-210)^1.41,0),0)</f>
        <v>0</v>
      </c>
      <c r="R13" s="98">
        <v>33</v>
      </c>
      <c r="S13" s="53">
        <f>IF(AND(R13&gt;7.95),ROUNDDOWN(7.86*(R13-7.95)^1.1,0),0)</f>
        <v>271</v>
      </c>
      <c r="U13" s="24">
        <f>J13*60+L13</f>
        <v>135.29</v>
      </c>
      <c r="V13" s="25">
        <f>IF(U13&gt;0,(INT(POWER(185-U13,1.88)*0.19889)),0)</f>
        <v>307</v>
      </c>
    </row>
    <row r="14" spans="1:22" ht="13.5" thickBot="1">
      <c r="A14" s="135"/>
      <c r="B14" s="11">
        <f>Jednotlivci!L13</f>
        <v>7</v>
      </c>
      <c r="C14" s="13" t="s">
        <v>50</v>
      </c>
      <c r="D14" s="133"/>
      <c r="E14" s="134"/>
      <c r="F14" s="40">
        <f>I14+M14+O14+Q14+S14</f>
        <v>1556</v>
      </c>
      <c r="G14" s="36">
        <f>F12</f>
        <v>5232</v>
      </c>
      <c r="H14" s="205">
        <v>9.2</v>
      </c>
      <c r="I14" s="47">
        <f>IF(AND(H14&gt;6.8,H14&lt;12.8),IF($B$5=1,ROUNDDOWN(46.0849*(12.76-H14)^1.81,0),ROUNDDOWN(46.0849*(13-H14)^1.81,)),0)</f>
        <v>458</v>
      </c>
      <c r="J14" s="87">
        <v>2</v>
      </c>
      <c r="K14" s="30" t="s">
        <v>24</v>
      </c>
      <c r="L14" s="91">
        <v>7.22</v>
      </c>
      <c r="M14" s="59">
        <f>V14</f>
        <v>408</v>
      </c>
      <c r="N14" s="95">
        <v>125</v>
      </c>
      <c r="O14" s="47">
        <f>IF(AND(N14&gt;75),ROUNDDOWN(1.84523*(N14-75)^1.348,0),0)</f>
        <v>359</v>
      </c>
      <c r="P14" s="95">
        <v>0</v>
      </c>
      <c r="Q14" s="47">
        <f>IF(AND(P14&gt;210),ROUNDDOWN(0.188807*(P14-210)^1.41,0),0)</f>
        <v>0</v>
      </c>
      <c r="R14" s="98">
        <v>38</v>
      </c>
      <c r="S14" s="55">
        <f>IF(AND(R14&gt;7.95),ROUNDDOWN(7.86*(R14-7.95)^1.1,0),0)</f>
        <v>331</v>
      </c>
      <c r="U14" s="24">
        <f>J14*60+L14</f>
        <v>127.22</v>
      </c>
      <c r="V14" s="25">
        <f>IF(U14&gt;0,(INT(POWER(185-U14,1.88)*0.19889)),0)</f>
        <v>408</v>
      </c>
    </row>
    <row r="15" spans="1:22" ht="13.5" thickBot="1">
      <c r="A15" s="135"/>
      <c r="B15" s="11">
        <f>Jednotlivci!L14</f>
        <v>8</v>
      </c>
      <c r="C15" s="13" t="s">
        <v>59</v>
      </c>
      <c r="D15" s="133"/>
      <c r="E15" s="134"/>
      <c r="F15" s="40">
        <f>I15+M15+O15+Q15+S15</f>
        <v>1092</v>
      </c>
      <c r="G15" s="36">
        <f>F12</f>
        <v>5232</v>
      </c>
      <c r="H15" s="205">
        <v>9.4</v>
      </c>
      <c r="I15" s="47">
        <f>IF(AND(H15&gt;6.8,H15&lt;12.8),IF($B$5=1,ROUNDDOWN(46.0849*(12.76-H15)^1.81,0),ROUNDDOWN(46.0849*(13-H15)^1.81,)),0)</f>
        <v>413</v>
      </c>
      <c r="J15" s="88">
        <v>2</v>
      </c>
      <c r="K15" s="20" t="s">
        <v>24</v>
      </c>
      <c r="L15" s="92">
        <v>12.09</v>
      </c>
      <c r="M15" s="59">
        <f>V15</f>
        <v>345</v>
      </c>
      <c r="N15" s="95"/>
      <c r="O15" s="47">
        <f>IF(AND(N15&gt;75),ROUNDDOWN(1.84523*(N15-75)^1.348,0),0)</f>
        <v>0</v>
      </c>
      <c r="P15" s="95">
        <v>367</v>
      </c>
      <c r="Q15" s="47">
        <f>IF(AND(P15&gt;210),ROUNDDOWN(0.188807*(P15-210)^1.41,0),0)</f>
        <v>235</v>
      </c>
      <c r="R15" s="99">
        <v>18</v>
      </c>
      <c r="S15" s="55">
        <f>IF(AND(R15&gt;7.95),ROUNDDOWN(7.86*(R15-7.95)^1.1,0),0)</f>
        <v>99</v>
      </c>
      <c r="U15" s="24">
        <f>J15*60+L15</f>
        <v>132.09</v>
      </c>
      <c r="V15" s="25">
        <f>IF(U15&gt;0,(INT(POWER(185-U15,1.88)*0.19889)),0)</f>
        <v>345</v>
      </c>
    </row>
    <row r="16" spans="1:22" ht="13.5" thickBot="1">
      <c r="A16" s="135"/>
      <c r="B16" s="11">
        <f>Jednotlivci!L15</f>
        <v>9</v>
      </c>
      <c r="C16" s="13" t="s">
        <v>49</v>
      </c>
      <c r="D16" s="133"/>
      <c r="E16" s="134"/>
      <c r="F16" s="40">
        <f>I16+M16+O16+Q16+S16</f>
        <v>1108</v>
      </c>
      <c r="G16" s="36">
        <f>F12</f>
        <v>5232</v>
      </c>
      <c r="H16" s="205">
        <v>9.7</v>
      </c>
      <c r="I16" s="47">
        <f>IF(AND(H16&gt;6.8,H16&lt;12.8),IF($B$5=1,ROUNDDOWN(46.0849*(12.76-H16)^1.81,0),ROUNDDOWN(46.0849*(13-H16)^1.81,)),0)</f>
        <v>348</v>
      </c>
      <c r="J16" s="87">
        <v>2</v>
      </c>
      <c r="K16" s="30" t="s">
        <v>24</v>
      </c>
      <c r="L16" s="91">
        <v>25.39</v>
      </c>
      <c r="M16" s="59">
        <f>V16</f>
        <v>200</v>
      </c>
      <c r="N16" s="95"/>
      <c r="O16" s="47">
        <f>IF(AND(N16&gt;75),ROUNDDOWN(1.84523*(N16-75)^1.348,0),0)</f>
        <v>0</v>
      </c>
      <c r="P16" s="95">
        <v>364</v>
      </c>
      <c r="Q16" s="47">
        <f>IF(AND(P16&gt;210),ROUNDDOWN(0.188807*(P16-210)^1.41,0),0)</f>
        <v>229</v>
      </c>
      <c r="R16" s="99">
        <v>38</v>
      </c>
      <c r="S16" s="55">
        <f>IF(AND(R16&gt;7.95),ROUNDDOWN(7.86*(R16-7.95)^1.1,0),0)</f>
        <v>331</v>
      </c>
      <c r="U16" s="24">
        <f>J16*60+L16</f>
        <v>145.39</v>
      </c>
      <c r="V16" s="25">
        <f>IF(U16&gt;0,(INT(POWER(185-U16,1.88)*0.19889)),0)</f>
        <v>200</v>
      </c>
    </row>
    <row r="17" spans="1:22" ht="13.5" thickBot="1">
      <c r="A17" s="136"/>
      <c r="B17" s="14">
        <f>Jednotlivci!L16</f>
        <v>10</v>
      </c>
      <c r="C17" s="15" t="s">
        <v>61</v>
      </c>
      <c r="D17" s="16"/>
      <c r="E17" s="137"/>
      <c r="F17" s="41">
        <f>I17+M17+O17+Q17+S17</f>
        <v>1243</v>
      </c>
      <c r="G17" s="36">
        <f>F12</f>
        <v>5232</v>
      </c>
      <c r="H17" s="202">
        <v>9.1</v>
      </c>
      <c r="I17" s="48">
        <f>IF(AND(H17&gt;6.8,H17&lt;12.8),IF($B$5=1,ROUNDDOWN(46.0849*(12.76-H17)^1.81,0),ROUNDDOWN(46.0849*(13-H17)^1.81,)),0)</f>
        <v>482</v>
      </c>
      <c r="J17" s="89">
        <v>2</v>
      </c>
      <c r="K17" s="31" t="s">
        <v>24</v>
      </c>
      <c r="L17" s="93">
        <v>11.09</v>
      </c>
      <c r="M17" s="60">
        <f>V17</f>
        <v>358</v>
      </c>
      <c r="N17" s="96"/>
      <c r="O17" s="48">
        <f>IF(AND(N17&gt;75),ROUNDDOWN(1.84523*(N17-75)^1.348,0),0)</f>
        <v>0</v>
      </c>
      <c r="P17" s="96">
        <v>368</v>
      </c>
      <c r="Q17" s="48">
        <f>IF(AND(P17&gt;210),ROUNDDOWN(0.188807*(P17-210)^1.41,0),0)</f>
        <v>237</v>
      </c>
      <c r="R17" s="99">
        <v>24</v>
      </c>
      <c r="S17" s="56">
        <f>IF(AND(R17&gt;7.95),ROUNDDOWN(7.86*(R17-7.95)^1.1,0),0)</f>
        <v>166</v>
      </c>
      <c r="U17" s="24">
        <f>J17*60+L17</f>
        <v>131.09</v>
      </c>
      <c r="V17" s="25">
        <f>IF(U17&gt;0,(INT(POWER(185-U17,1.88)*0.19889)),0)</f>
        <v>358</v>
      </c>
    </row>
    <row r="18" spans="6:19" ht="13.5" thickBot="1">
      <c r="F18" s="43"/>
      <c r="G18" s="36">
        <f>F12</f>
        <v>5232</v>
      </c>
      <c r="H18" s="203"/>
      <c r="I18" s="49"/>
      <c r="J18" s="38"/>
      <c r="K18" s="22"/>
      <c r="L18" s="21"/>
      <c r="M18" s="43"/>
      <c r="O18" s="49"/>
      <c r="Q18" s="49"/>
      <c r="S18" s="49"/>
    </row>
    <row r="19" spans="1:19" ht="13.5" thickBot="1">
      <c r="A19" s="7">
        <f>Družstva!A11</f>
        <v>3</v>
      </c>
      <c r="B19" s="33">
        <f>$B$5</f>
        <v>1</v>
      </c>
      <c r="C19" s="8" t="s">
        <v>62</v>
      </c>
      <c r="D19" s="9"/>
      <c r="E19" s="10" t="s">
        <v>32</v>
      </c>
      <c r="F19" s="44">
        <f>SUM(F20:F24)-MIN(F20:F24)</f>
        <v>5414</v>
      </c>
      <c r="G19" s="37">
        <f>F19</f>
        <v>5414</v>
      </c>
      <c r="H19" s="204"/>
      <c r="I19" s="81"/>
      <c r="J19" s="82"/>
      <c r="K19" s="83"/>
      <c r="L19" s="76"/>
      <c r="M19" s="84"/>
      <c r="N19" s="78"/>
      <c r="O19" s="81"/>
      <c r="P19" s="78"/>
      <c r="Q19" s="81"/>
      <c r="R19" s="79"/>
      <c r="S19" s="85"/>
    </row>
    <row r="20" spans="1:22" ht="13.5" thickBot="1">
      <c r="A20" s="138"/>
      <c r="B20" s="139">
        <f>Jednotlivci!L17</f>
        <v>11</v>
      </c>
      <c r="C20" s="12" t="s">
        <v>64</v>
      </c>
      <c r="D20" s="140"/>
      <c r="E20" s="141"/>
      <c r="F20" s="39">
        <f>I20+M20+O20+Q20+S20</f>
        <v>1427</v>
      </c>
      <c r="G20" s="36">
        <f>F19</f>
        <v>5414</v>
      </c>
      <c r="H20" s="126">
        <v>9.1</v>
      </c>
      <c r="I20" s="45">
        <f>IF(AND(H20&gt;6.8,H20&lt;12.8),IF($B$5=1,ROUNDDOWN(46.0849*(12.76-H20)^1.81,0),ROUNDDOWN(46.0849*(13-H20)^1.81,)),0)</f>
        <v>482</v>
      </c>
      <c r="J20" s="86">
        <v>2</v>
      </c>
      <c r="K20" s="32" t="s">
        <v>24</v>
      </c>
      <c r="L20" s="90">
        <v>14.61</v>
      </c>
      <c r="M20" s="57">
        <f>V20</f>
        <v>315</v>
      </c>
      <c r="N20" s="97">
        <v>125</v>
      </c>
      <c r="O20" s="45">
        <f>IF(AND(N20&gt;75),ROUNDDOWN(1.84523*(N20-75)^1.348,0),0)</f>
        <v>359</v>
      </c>
      <c r="P20" s="94">
        <v>0</v>
      </c>
      <c r="Q20" s="45">
        <f>IF(AND(P20&gt;210),ROUNDDOWN(0.188807*(P20-210)^1.41,0),0)</f>
        <v>0</v>
      </c>
      <c r="R20" s="98">
        <v>33</v>
      </c>
      <c r="S20" s="53">
        <f>IF(AND(R20&gt;7.95),ROUNDDOWN(7.86*(R20-7.95)^1.1,0),0)</f>
        <v>271</v>
      </c>
      <c r="U20" s="24">
        <f>J20*60+L20</f>
        <v>134.61</v>
      </c>
      <c r="V20" s="25">
        <f>IF(U20&gt;0,(INT(POWER(185-U20,1.88)*0.19889)),0)</f>
        <v>315</v>
      </c>
    </row>
    <row r="21" spans="1:22" ht="13.5" thickBot="1">
      <c r="A21" s="135"/>
      <c r="B21" s="11">
        <f>Jednotlivci!L18</f>
        <v>12</v>
      </c>
      <c r="C21" s="13" t="s">
        <v>66</v>
      </c>
      <c r="D21" s="133"/>
      <c r="E21" s="134"/>
      <c r="F21" s="40">
        <f>I21+M21+O21+Q21+S21</f>
        <v>1245</v>
      </c>
      <c r="G21" s="36">
        <f>F19</f>
        <v>5414</v>
      </c>
      <c r="H21" s="205">
        <v>9.5</v>
      </c>
      <c r="I21" s="47">
        <f>IF(AND(H21&gt;6.8,H21&lt;12.8),IF($B$5=1,ROUNDDOWN(46.0849*(12.76-H21)^1.81,0),ROUNDDOWN(46.0849*(13-H21)^1.81,)),0)</f>
        <v>391</v>
      </c>
      <c r="J21" s="87">
        <v>2</v>
      </c>
      <c r="K21" s="30" t="s">
        <v>24</v>
      </c>
      <c r="L21" s="91">
        <v>21.8</v>
      </c>
      <c r="M21" s="59">
        <f>V21</f>
        <v>236</v>
      </c>
      <c r="N21" s="95">
        <v>125</v>
      </c>
      <c r="O21" s="47">
        <f>IF(AND(N21&gt;75),ROUNDDOWN(1.84523*(N21-75)^1.348,0),0)</f>
        <v>359</v>
      </c>
      <c r="P21" s="95">
        <v>0</v>
      </c>
      <c r="Q21" s="47">
        <f>IF(AND(P21&gt;210),ROUNDDOWN(0.188807*(P21-210)^1.41,0),0)</f>
        <v>0</v>
      </c>
      <c r="R21" s="98">
        <v>32</v>
      </c>
      <c r="S21" s="55">
        <f>IF(AND(R21&gt;7.95),ROUNDDOWN(7.86*(R21-7.95)^1.1,0),0)</f>
        <v>259</v>
      </c>
      <c r="U21" s="24">
        <f>J21*60+L21</f>
        <v>141.8</v>
      </c>
      <c r="V21" s="25">
        <f>IF(U21&gt;0,(INT(POWER(185-U21,1.88)*0.19889)),0)</f>
        <v>236</v>
      </c>
    </row>
    <row r="22" spans="1:22" ht="13.5" thickBot="1">
      <c r="A22" s="135"/>
      <c r="B22" s="11">
        <f>Jednotlivci!L19</f>
        <v>13</v>
      </c>
      <c r="C22" s="13" t="s">
        <v>67</v>
      </c>
      <c r="D22" s="133"/>
      <c r="E22" s="134"/>
      <c r="F22" s="40">
        <f>I22+M22+O22+Q22+S22</f>
        <v>1237</v>
      </c>
      <c r="G22" s="36">
        <f>F19</f>
        <v>5414</v>
      </c>
      <c r="H22" s="205">
        <v>9.8</v>
      </c>
      <c r="I22" s="47">
        <f>IF(AND(H22&gt;6.8,H22&lt;12.8),IF($B$5=1,ROUNDDOWN(46.0849*(12.76-H22)^1.81,0),ROUNDDOWN(46.0849*(13-H22)^1.81,)),0)</f>
        <v>328</v>
      </c>
      <c r="J22" s="88">
        <v>2</v>
      </c>
      <c r="K22" s="20" t="s">
        <v>24</v>
      </c>
      <c r="L22" s="92">
        <v>14.7</v>
      </c>
      <c r="M22" s="59">
        <f>V22</f>
        <v>314</v>
      </c>
      <c r="N22" s="95">
        <v>125</v>
      </c>
      <c r="O22" s="47">
        <f>IF(AND(N22&gt;75),ROUNDDOWN(1.84523*(N22-75)^1.348,0),0)</f>
        <v>359</v>
      </c>
      <c r="P22" s="95">
        <v>0</v>
      </c>
      <c r="Q22" s="47">
        <f>IF(AND(P22&gt;210),ROUNDDOWN(0.188807*(P22-210)^1.41,0),0)</f>
        <v>0</v>
      </c>
      <c r="R22" s="99">
        <v>30</v>
      </c>
      <c r="S22" s="55">
        <f>IF(AND(R22&gt;7.95),ROUNDDOWN(7.86*(R22-7.95)^1.1,0),0)</f>
        <v>236</v>
      </c>
      <c r="U22" s="24">
        <f>J22*60+L22</f>
        <v>134.7</v>
      </c>
      <c r="V22" s="25">
        <f>IF(U22&gt;0,(INT(POWER(185-U22,1.88)*0.19889)),0)</f>
        <v>314</v>
      </c>
    </row>
    <row r="23" spans="1:22" ht="13.5" thickBot="1">
      <c r="A23" s="135"/>
      <c r="B23" s="11">
        <f>Jednotlivci!L20</f>
        <v>14</v>
      </c>
      <c r="C23" s="13" t="s">
        <v>63</v>
      </c>
      <c r="D23" s="133"/>
      <c r="E23" s="134"/>
      <c r="F23" s="40">
        <f>I23+M23+O23+Q23+S23</f>
        <v>1396</v>
      </c>
      <c r="G23" s="36">
        <f>F19</f>
        <v>5414</v>
      </c>
      <c r="H23" s="205">
        <v>9.3</v>
      </c>
      <c r="I23" s="47">
        <f>IF(AND(H23&gt;6.8,H23&lt;12.8),IF($B$5=1,ROUNDDOWN(46.0849*(12.76-H23)^1.81,0),ROUNDDOWN(46.0849*(13-H23)^1.81,)),0)</f>
        <v>435</v>
      </c>
      <c r="J23" s="87">
        <v>2</v>
      </c>
      <c r="K23" s="30" t="s">
        <v>24</v>
      </c>
      <c r="L23" s="91">
        <v>10.45</v>
      </c>
      <c r="M23" s="59">
        <f>V23</f>
        <v>366</v>
      </c>
      <c r="N23" s="95"/>
      <c r="O23" s="47">
        <f>IF(AND(N23&gt;75),ROUNDDOWN(1.84523*(N23-75)^1.348,0),0)</f>
        <v>0</v>
      </c>
      <c r="P23" s="95">
        <v>386</v>
      </c>
      <c r="Q23" s="47">
        <f>IF(AND(P23&gt;210),ROUNDDOWN(0.188807*(P23-210)^1.41,0),0)</f>
        <v>276</v>
      </c>
      <c r="R23" s="99">
        <v>37</v>
      </c>
      <c r="S23" s="55">
        <f>IF(AND(R23&gt;7.95),ROUNDDOWN(7.86*(R23-7.95)^1.1,0),0)</f>
        <v>319</v>
      </c>
      <c r="U23" s="24">
        <f>J23*60+L23</f>
        <v>130.45</v>
      </c>
      <c r="V23" s="25">
        <f>IF(U23&gt;0,(INT(POWER(185-U23,1.88)*0.19889)),0)</f>
        <v>366</v>
      </c>
    </row>
    <row r="24" spans="1:22" ht="13.5" thickBot="1">
      <c r="A24" s="136"/>
      <c r="B24" s="14">
        <f>Jednotlivci!L21</f>
        <v>15</v>
      </c>
      <c r="C24" s="15" t="s">
        <v>65</v>
      </c>
      <c r="D24" s="16"/>
      <c r="E24" s="137"/>
      <c r="F24" s="41">
        <f>I24+M24+O24+Q24+S24</f>
        <v>1346</v>
      </c>
      <c r="G24" s="36">
        <f>F19</f>
        <v>5414</v>
      </c>
      <c r="H24" s="202">
        <v>9.2</v>
      </c>
      <c r="I24" s="48">
        <f>IF(AND(H24&gt;6.8,H24&lt;12.8),IF($B$5=1,ROUNDDOWN(46.0849*(12.76-H24)^1.81,0),ROUNDDOWN(46.0849*(13-H24)^1.81,)),0)</f>
        <v>458</v>
      </c>
      <c r="J24" s="89">
        <v>2</v>
      </c>
      <c r="K24" s="31" t="s">
        <v>24</v>
      </c>
      <c r="L24" s="93">
        <v>10.01</v>
      </c>
      <c r="M24" s="60">
        <f>V24</f>
        <v>371</v>
      </c>
      <c r="N24" s="96"/>
      <c r="O24" s="48">
        <f>IF(AND(N24&gt;75),ROUNDDOWN(1.84523*(N24-75)^1.348,0),0)</f>
        <v>0</v>
      </c>
      <c r="P24" s="96">
        <v>372</v>
      </c>
      <c r="Q24" s="48">
        <f>IF(AND(P24&gt;210),ROUNDDOWN(0.188807*(P24-210)^1.41,0),0)</f>
        <v>246</v>
      </c>
      <c r="R24" s="99">
        <v>33</v>
      </c>
      <c r="S24" s="56">
        <f>IF(AND(R24&gt;7.95),ROUNDDOWN(7.86*(R24-7.95)^1.1,0),0)</f>
        <v>271</v>
      </c>
      <c r="U24" s="24">
        <f>J24*60+L24</f>
        <v>130.01</v>
      </c>
      <c r="V24" s="25">
        <f>IF(U24&gt;0,(INT(POWER(185-U24,1.88)*0.19889)),0)</f>
        <v>371</v>
      </c>
    </row>
    <row r="25" spans="6:19" ht="13.5" thickBot="1">
      <c r="F25" s="43"/>
      <c r="G25" s="36">
        <f>F19</f>
        <v>5414</v>
      </c>
      <c r="H25" s="203"/>
      <c r="I25" s="49"/>
      <c r="J25" s="38"/>
      <c r="K25" s="22"/>
      <c r="L25" s="21"/>
      <c r="M25" s="43"/>
      <c r="O25" s="49"/>
      <c r="Q25" s="49"/>
      <c r="S25" s="49"/>
    </row>
    <row r="26" spans="1:19" ht="13.5" thickBot="1">
      <c r="A26" s="7">
        <f>Družstva!A12</f>
        <v>4</v>
      </c>
      <c r="B26" s="102">
        <f>$B$5</f>
        <v>1</v>
      </c>
      <c r="C26" s="8" t="s">
        <v>42</v>
      </c>
      <c r="D26" s="9"/>
      <c r="E26" s="10" t="s">
        <v>32</v>
      </c>
      <c r="F26" s="44">
        <f>SUM(F27:F31)-MIN(F27:F31)</f>
        <v>5332</v>
      </c>
      <c r="G26" s="37">
        <f>F26</f>
        <v>5332</v>
      </c>
      <c r="H26" s="204"/>
      <c r="I26" s="81"/>
      <c r="J26" s="82"/>
      <c r="K26" s="83"/>
      <c r="L26" s="76"/>
      <c r="M26" s="84"/>
      <c r="N26" s="78"/>
      <c r="O26" s="81"/>
      <c r="P26" s="78"/>
      <c r="Q26" s="81"/>
      <c r="R26" s="79"/>
      <c r="S26" s="85"/>
    </row>
    <row r="27" spans="1:22" ht="13.5" thickBot="1">
      <c r="A27" s="138"/>
      <c r="B27" s="139">
        <f>Jednotlivci!L22</f>
        <v>16</v>
      </c>
      <c r="C27" s="13" t="s">
        <v>69</v>
      </c>
      <c r="D27" s="140"/>
      <c r="E27" s="141"/>
      <c r="F27" s="39">
        <f>I27+M27+O27+Q27+S27</f>
        <v>1465</v>
      </c>
      <c r="G27" s="36">
        <f>F26</f>
        <v>5332</v>
      </c>
      <c r="H27" s="206">
        <v>8.7</v>
      </c>
      <c r="I27" s="45">
        <f>IF(AND(H27&gt;6.8,H27&lt;12.8),IF($B$5=1,ROUNDDOWN(46.0849*(12.76-H27)^1.81,0),ROUNDDOWN(46.0849*(13-H27)^1.81,)),0)</f>
        <v>582</v>
      </c>
      <c r="J27" s="86">
        <v>2</v>
      </c>
      <c r="K27" s="32" t="s">
        <v>24</v>
      </c>
      <c r="L27" s="90">
        <v>12.92</v>
      </c>
      <c r="M27" s="57">
        <f>V27</f>
        <v>335</v>
      </c>
      <c r="N27" s="97">
        <v>125</v>
      </c>
      <c r="O27" s="45">
        <f>IF(AND(N27&gt;75),ROUNDDOWN(1.84523*(N27-75)^1.348,0),0)</f>
        <v>359</v>
      </c>
      <c r="P27" s="94"/>
      <c r="Q27" s="45">
        <f>IF(AND(P27&gt;210),ROUNDDOWN(0.188807*(P27-210)^1.41,0),0)</f>
        <v>0</v>
      </c>
      <c r="R27" s="98">
        <v>26</v>
      </c>
      <c r="S27" s="53">
        <f>IF(AND(R27&gt;7.95),ROUNDDOWN(7.86*(R27-7.95)^1.1,0),0)</f>
        <v>189</v>
      </c>
      <c r="U27" s="24">
        <f>J27*60+L27</f>
        <v>132.92</v>
      </c>
      <c r="V27" s="25">
        <f>IF(U27&gt;0,(INT(POWER(185-U27,1.88)*0.19889)),0)</f>
        <v>335</v>
      </c>
    </row>
    <row r="28" spans="1:22" ht="13.5" thickBot="1">
      <c r="A28" s="135"/>
      <c r="B28" s="11">
        <f>Jednotlivci!L23</f>
        <v>17</v>
      </c>
      <c r="C28" s="13" t="s">
        <v>71</v>
      </c>
      <c r="D28" s="133"/>
      <c r="E28" s="134"/>
      <c r="F28" s="40">
        <f>I28+M28+O28+Q28+S28</f>
        <v>1253</v>
      </c>
      <c r="G28" s="36">
        <f>F26</f>
        <v>5332</v>
      </c>
      <c r="H28" s="206">
        <v>9.4</v>
      </c>
      <c r="I28" s="47">
        <f>IF(AND(H28&gt;6.8,H28&lt;12.8),IF($B$5=1,ROUNDDOWN(46.0849*(12.76-H28)^1.81,0),ROUNDDOWN(46.0849*(13-H28)^1.81,)),0)</f>
        <v>413</v>
      </c>
      <c r="J28" s="87">
        <v>2</v>
      </c>
      <c r="K28" s="30" t="s">
        <v>24</v>
      </c>
      <c r="L28" s="91">
        <v>16.06</v>
      </c>
      <c r="M28" s="59">
        <f>V28</f>
        <v>298</v>
      </c>
      <c r="N28" s="95">
        <v>120</v>
      </c>
      <c r="O28" s="47">
        <f>IF(AND(N28&gt;75),ROUNDDOWN(1.84523*(N28-75)^1.348,0),0)</f>
        <v>312</v>
      </c>
      <c r="P28" s="95"/>
      <c r="Q28" s="47">
        <f>IF(AND(P28&gt;210),ROUNDDOWN(0.188807*(P28-210)^1.41,0),0)</f>
        <v>0</v>
      </c>
      <c r="R28" s="99">
        <v>29.5</v>
      </c>
      <c r="S28" s="55">
        <f>IF(AND(R28&gt;7.95),ROUNDDOWN(7.86*(R28-7.95)^1.1,0),0)</f>
        <v>230</v>
      </c>
      <c r="U28" s="24">
        <f>J28*60+L28</f>
        <v>136.06</v>
      </c>
      <c r="V28" s="25">
        <f>IF(U28&gt;0,(INT(POWER(185-U28,1.88)*0.19889)),0)</f>
        <v>298</v>
      </c>
    </row>
    <row r="29" spans="1:22" ht="13.5" thickBot="1">
      <c r="A29" s="135"/>
      <c r="B29" s="11">
        <f>Jednotlivci!L24</f>
        <v>18</v>
      </c>
      <c r="C29" s="13" t="s">
        <v>68</v>
      </c>
      <c r="D29" s="133"/>
      <c r="E29" s="134"/>
      <c r="F29" s="40">
        <f>I29+M29+O29+Q29+S29</f>
        <v>1287</v>
      </c>
      <c r="G29" s="36">
        <f>F26</f>
        <v>5332</v>
      </c>
      <c r="H29" s="206">
        <v>10</v>
      </c>
      <c r="I29" s="47">
        <f>IF(AND(H29&gt;6.8,H29&lt;12.8),IF($B$5=1,ROUNDDOWN(46.0849*(12.76-H29)^1.81,0),ROUNDDOWN(46.0849*(13-H29)^1.81,)),0)</f>
        <v>289</v>
      </c>
      <c r="J29" s="88">
        <v>1</v>
      </c>
      <c r="K29" s="20" t="s">
        <v>24</v>
      </c>
      <c r="L29" s="92">
        <v>56.89</v>
      </c>
      <c r="M29" s="59">
        <f>V29</f>
        <v>555</v>
      </c>
      <c r="N29" s="95"/>
      <c r="O29" s="47">
        <f>IF(AND(N29&gt;75),ROUNDDOWN(1.84523*(N29-75)^1.348,0),0)</f>
        <v>0</v>
      </c>
      <c r="P29" s="95">
        <v>336</v>
      </c>
      <c r="Q29" s="47">
        <f>IF(AND(P29&gt;210),ROUNDDOWN(0.188807*(P29-210)^1.41,0),0)</f>
        <v>172</v>
      </c>
      <c r="R29" s="99">
        <v>33</v>
      </c>
      <c r="S29" s="55">
        <f>IF(AND(R29&gt;7.95),ROUNDDOWN(7.86*(R29-7.95)^1.1,0),0)</f>
        <v>271</v>
      </c>
      <c r="U29" s="24">
        <f>J29*60+L29</f>
        <v>116.89</v>
      </c>
      <c r="V29" s="25">
        <f>IF(U29&gt;0,(INT(POWER(185-U29,1.88)*0.19889)),0)</f>
        <v>555</v>
      </c>
    </row>
    <row r="30" spans="1:22" ht="13.5" thickBot="1">
      <c r="A30" s="135"/>
      <c r="B30" s="11">
        <f>Jednotlivci!L25</f>
        <v>18</v>
      </c>
      <c r="C30" s="13" t="s">
        <v>70</v>
      </c>
      <c r="D30" s="133"/>
      <c r="E30" s="134"/>
      <c r="F30" s="40">
        <f>I30+M30+O30+Q30+S30</f>
        <v>1237</v>
      </c>
      <c r="G30" s="36">
        <f>F26</f>
        <v>5332</v>
      </c>
      <c r="H30" s="206">
        <v>9.4</v>
      </c>
      <c r="I30" s="47">
        <f>IF(AND(H30&gt;6.8,H30&lt;12.8),IF($B$5=1,ROUNDDOWN(46.0849*(12.76-H30)^1.81,0),ROUNDDOWN(46.0849*(13-H30)^1.81,)),0)</f>
        <v>413</v>
      </c>
      <c r="J30" s="87">
        <v>2</v>
      </c>
      <c r="K30" s="30" t="s">
        <v>24</v>
      </c>
      <c r="L30" s="91">
        <v>10.74</v>
      </c>
      <c r="M30" s="59">
        <f>V30</f>
        <v>362</v>
      </c>
      <c r="N30" s="95"/>
      <c r="O30" s="47">
        <f>IF(AND(N30&gt;75),ROUNDDOWN(1.84523*(N30-75)^1.348,0),0)</f>
        <v>0</v>
      </c>
      <c r="P30" s="95">
        <v>374</v>
      </c>
      <c r="Q30" s="47">
        <f>IF(AND(P30&gt;210),ROUNDDOWN(0.188807*(P30-210)^1.41,0),0)</f>
        <v>250</v>
      </c>
      <c r="R30" s="99">
        <v>28</v>
      </c>
      <c r="S30" s="55">
        <f>IF(AND(R30&gt;7.95),ROUNDDOWN(7.86*(R30-7.95)^1.1,0),0)</f>
        <v>212</v>
      </c>
      <c r="U30" s="24">
        <f>J30*60+L30</f>
        <v>130.74</v>
      </c>
      <c r="V30" s="25">
        <f>IF(U30&gt;0,(INT(POWER(185-U30,1.88)*0.19889)),0)</f>
        <v>362</v>
      </c>
    </row>
    <row r="31" spans="1:22" ht="13.5" thickBot="1">
      <c r="A31" s="136"/>
      <c r="B31" s="14">
        <f>Jednotlivci!L26</f>
        <v>20</v>
      </c>
      <c r="C31" s="15" t="s">
        <v>45</v>
      </c>
      <c r="D31" s="16"/>
      <c r="E31" s="137"/>
      <c r="F31" s="41">
        <f>I31+M31+O31+Q31+S31</f>
        <v>1327</v>
      </c>
      <c r="G31" s="36">
        <f>F26</f>
        <v>5332</v>
      </c>
      <c r="H31" s="207">
        <v>9.6</v>
      </c>
      <c r="I31" s="48">
        <f>IF(AND(H31&gt;6.8,H31&lt;12.8),IF($B$5=1,ROUNDDOWN(46.0849*(12.76-H31)^1.81,0),ROUNDDOWN(46.0849*(13-H31)^1.81,)),0)</f>
        <v>369</v>
      </c>
      <c r="J31" s="89">
        <v>2</v>
      </c>
      <c r="K31" s="31" t="s">
        <v>24</v>
      </c>
      <c r="L31" s="93">
        <v>8.67</v>
      </c>
      <c r="M31" s="60">
        <f>V31</f>
        <v>389</v>
      </c>
      <c r="N31" s="96"/>
      <c r="O31" s="48">
        <f>IF(AND(N31&gt;75),ROUNDDOWN(1.84523*(N31-75)^1.348,0),0)</f>
        <v>0</v>
      </c>
      <c r="P31" s="96">
        <v>393</v>
      </c>
      <c r="Q31" s="48">
        <f>IF(AND(P31&gt;210),ROUNDDOWN(0.188807*(P31-210)^1.41,0),0)</f>
        <v>292</v>
      </c>
      <c r="R31" s="100">
        <v>33.5</v>
      </c>
      <c r="S31" s="56">
        <f>IF(AND(R31&gt;7.95),ROUNDDOWN(7.86*(R31-7.95)^1.1,0),0)</f>
        <v>277</v>
      </c>
      <c r="U31" s="24">
        <f>J31*60+L31</f>
        <v>128.67</v>
      </c>
      <c r="V31" s="25">
        <f>IF(U31&gt;0,(INT(POWER(185-U31,1.88)*0.19889)),0)</f>
        <v>389</v>
      </c>
    </row>
    <row r="32" spans="6:19" ht="13.5" thickBot="1">
      <c r="F32" s="43"/>
      <c r="G32" s="36">
        <f>F26</f>
        <v>5332</v>
      </c>
      <c r="H32" s="203"/>
      <c r="I32" s="49"/>
      <c r="J32" s="38"/>
      <c r="K32" s="22"/>
      <c r="L32" s="21"/>
      <c r="M32" s="43"/>
      <c r="O32" s="49"/>
      <c r="Q32" s="49"/>
      <c r="R32" s="111"/>
      <c r="S32" s="49"/>
    </row>
    <row r="33" spans="1:19" ht="13.5" thickBot="1">
      <c r="A33" s="7">
        <f>Družstva!A13</f>
        <v>5</v>
      </c>
      <c r="B33" s="33">
        <f>$B$5</f>
        <v>1</v>
      </c>
      <c r="C33" s="8" t="s">
        <v>33</v>
      </c>
      <c r="D33" s="9"/>
      <c r="E33" s="10" t="s">
        <v>32</v>
      </c>
      <c r="F33" s="44">
        <f>SUM(F34:F38)-MIN(F34:F38)</f>
        <v>5549</v>
      </c>
      <c r="G33" s="37">
        <f>F33</f>
        <v>5549</v>
      </c>
      <c r="H33" s="204"/>
      <c r="I33" s="81"/>
      <c r="J33" s="82"/>
      <c r="K33" s="83"/>
      <c r="L33" s="76"/>
      <c r="M33" s="84"/>
      <c r="N33" s="78"/>
      <c r="O33" s="81"/>
      <c r="P33" s="78"/>
      <c r="Q33" s="81"/>
      <c r="R33" s="79"/>
      <c r="S33" s="85"/>
    </row>
    <row r="34" spans="1:22" ht="13.5" thickBot="1">
      <c r="A34" s="138"/>
      <c r="B34" s="139">
        <f>Jednotlivci!L27</f>
        <v>21</v>
      </c>
      <c r="C34" s="12" t="s">
        <v>72</v>
      </c>
      <c r="D34" s="140">
        <v>0</v>
      </c>
      <c r="E34" s="141"/>
      <c r="F34" s="39">
        <f>I34+M34+O34+Q34+S34</f>
        <v>1285</v>
      </c>
      <c r="G34" s="36">
        <f>F33</f>
        <v>5549</v>
      </c>
      <c r="H34" s="206">
        <v>8.9</v>
      </c>
      <c r="I34" s="45">
        <f>IF(AND(H34&gt;6.8,H34&lt;12.8),IF($B$5=1,ROUNDDOWN(46.0849*(12.76-H34)^1.81,0),ROUNDDOWN(46.0849*(13-H34)^1.81,)),0)</f>
        <v>531</v>
      </c>
      <c r="J34" s="86">
        <v>2</v>
      </c>
      <c r="K34" s="32" t="s">
        <v>24</v>
      </c>
      <c r="L34" s="142">
        <v>11.32</v>
      </c>
      <c r="M34" s="57">
        <f>V34</f>
        <v>355</v>
      </c>
      <c r="N34" s="97">
        <v>110</v>
      </c>
      <c r="O34" s="45">
        <f>IF(AND(N34&gt;75),ROUNDDOWN(1.84523*(N34-75)^1.348,0),0)</f>
        <v>222</v>
      </c>
      <c r="P34" s="94"/>
      <c r="Q34" s="45">
        <f>IF(AND(P34&gt;210),ROUNDDOWN(0.188807*(P34-210)^1.41,0),0)</f>
        <v>0</v>
      </c>
      <c r="R34" s="98">
        <v>25</v>
      </c>
      <c r="S34" s="53">
        <f>IF(AND(R34&gt;7.95),ROUNDDOWN(7.86*(R34-7.95)^1.1,0),0)</f>
        <v>177</v>
      </c>
      <c r="U34" s="24">
        <f>J34*60+L34</f>
        <v>131.32</v>
      </c>
      <c r="V34" s="25">
        <f>IF(U34&gt;0,(INT(POWER(185-U34,1.88)*0.19889)),0)</f>
        <v>355</v>
      </c>
    </row>
    <row r="35" spans="1:22" ht="13.5" thickBot="1">
      <c r="A35" s="135"/>
      <c r="B35" s="11">
        <f>Jednotlivci!L28</f>
        <v>22</v>
      </c>
      <c r="C35" s="13" t="s">
        <v>47</v>
      </c>
      <c r="D35" s="133">
        <v>0</v>
      </c>
      <c r="E35" s="134"/>
      <c r="F35" s="40">
        <f>I35+M35+O35+Q35+S35</f>
        <v>1428</v>
      </c>
      <c r="G35" s="36">
        <f>F33</f>
        <v>5549</v>
      </c>
      <c r="H35" s="206">
        <v>8.7</v>
      </c>
      <c r="I35" s="47">
        <f>IF(AND(H35&gt;6.8,H35&lt;12.8),IF($B$5=1,ROUNDDOWN(46.0849*(12.76-H35)^1.81,0),ROUNDDOWN(46.0849*(13-H35)^1.81,)),0)</f>
        <v>582</v>
      </c>
      <c r="J35" s="87">
        <v>2</v>
      </c>
      <c r="K35" s="30" t="s">
        <v>24</v>
      </c>
      <c r="L35" s="143">
        <v>11.01</v>
      </c>
      <c r="M35" s="59">
        <f>V35</f>
        <v>359</v>
      </c>
      <c r="N35" s="95">
        <v>105</v>
      </c>
      <c r="O35" s="47">
        <f>IF(AND(N35&gt;75),ROUNDDOWN(1.84523*(N35-75)^1.348,0),0)</f>
        <v>180</v>
      </c>
      <c r="P35" s="95"/>
      <c r="Q35" s="47">
        <f>IF(AND(P35&gt;210),ROUNDDOWN(0.188807*(P35-210)^1.41,0),0)</f>
        <v>0</v>
      </c>
      <c r="R35" s="99">
        <v>36</v>
      </c>
      <c r="S35" s="55">
        <f>IF(AND(R35&gt;7.95),ROUNDDOWN(7.86*(R35-7.95)^1.1,0),0)</f>
        <v>307</v>
      </c>
      <c r="U35" s="24">
        <f>J35*60+L35</f>
        <v>131.01</v>
      </c>
      <c r="V35" s="25">
        <f>IF(U35&gt;0,(INT(POWER(185-U35,1.88)*0.19889)),0)</f>
        <v>359</v>
      </c>
    </row>
    <row r="36" spans="1:22" ht="13.5" thickBot="1">
      <c r="A36" s="135"/>
      <c r="B36" s="11">
        <f>Jednotlivci!L29</f>
        <v>23</v>
      </c>
      <c r="C36" s="13" t="s">
        <v>73</v>
      </c>
      <c r="D36" s="133">
        <v>0</v>
      </c>
      <c r="E36" s="134"/>
      <c r="F36" s="40">
        <f>I36+M36+O36+Q36+S36</f>
        <v>1240</v>
      </c>
      <c r="G36" s="36">
        <f>F33</f>
        <v>5549</v>
      </c>
      <c r="H36" s="206">
        <v>9.2</v>
      </c>
      <c r="I36" s="47">
        <f>IF(AND(H36&gt;6.8,H36&lt;12.8),IF($B$5=1,ROUNDDOWN(46.0849*(12.76-H36)^1.81,0),ROUNDDOWN(46.0849*(13-H36)^1.81,)),0)</f>
        <v>458</v>
      </c>
      <c r="J36" s="88">
        <v>2</v>
      </c>
      <c r="K36" s="20" t="s">
        <v>24</v>
      </c>
      <c r="L36" s="144">
        <v>10.41</v>
      </c>
      <c r="M36" s="59">
        <f>V36</f>
        <v>366</v>
      </c>
      <c r="N36" s="95"/>
      <c r="O36" s="47">
        <f>IF(AND(N36&gt;75),ROUNDDOWN(1.84523*(N36-75)^1.348,0),0)</f>
        <v>0</v>
      </c>
      <c r="P36" s="95">
        <v>379</v>
      </c>
      <c r="Q36" s="47">
        <f>IF(AND(P36&gt;210),ROUNDDOWN(0.188807*(P36-210)^1.41,0),0)</f>
        <v>261</v>
      </c>
      <c r="R36" s="99">
        <v>23</v>
      </c>
      <c r="S36" s="55">
        <f>IF(AND(R36&gt;7.95),ROUNDDOWN(7.86*(R36-7.95)^1.1,0),0)</f>
        <v>155</v>
      </c>
      <c r="U36" s="24">
        <f>J36*60+L36</f>
        <v>130.41</v>
      </c>
      <c r="V36" s="25">
        <f>IF(U36&gt;0,(INT(POWER(185-U36,1.88)*0.19889)),0)</f>
        <v>366</v>
      </c>
    </row>
    <row r="37" spans="1:22" ht="13.5" thickBot="1">
      <c r="A37" s="135"/>
      <c r="B37" s="11">
        <f>Jednotlivci!L30</f>
        <v>24</v>
      </c>
      <c r="C37" s="13" t="s">
        <v>74</v>
      </c>
      <c r="D37" s="133">
        <v>0</v>
      </c>
      <c r="E37" s="134"/>
      <c r="F37" s="40">
        <f>I37+M37+O37+Q37+S37</f>
        <v>1406</v>
      </c>
      <c r="G37" s="36">
        <f>F33</f>
        <v>5549</v>
      </c>
      <c r="H37" s="206">
        <v>9.4</v>
      </c>
      <c r="I37" s="47">
        <f>IF(AND(H37&gt;6.8,H37&lt;12.8),IF($B$5=1,ROUNDDOWN(46.0849*(12.76-H37)^1.81,0),ROUNDDOWN(46.0849*(13-H37)^1.81,)),0)</f>
        <v>413</v>
      </c>
      <c r="J37" s="87">
        <v>2</v>
      </c>
      <c r="K37" s="30" t="s">
        <v>24</v>
      </c>
      <c r="L37" s="143">
        <v>9.86</v>
      </c>
      <c r="M37" s="59">
        <f>V37</f>
        <v>373</v>
      </c>
      <c r="N37" s="95"/>
      <c r="O37" s="47">
        <f>IF(AND(N37&gt;75),ROUNDDOWN(1.84523*(N37-75)^1.348,0),0)</f>
        <v>0</v>
      </c>
      <c r="P37" s="95">
        <v>397</v>
      </c>
      <c r="Q37" s="47">
        <f>IF(AND(P37&gt;210),ROUNDDOWN(0.188807*(P37-210)^1.41,0),0)</f>
        <v>301</v>
      </c>
      <c r="R37" s="99">
        <v>37</v>
      </c>
      <c r="S37" s="55">
        <f>IF(AND(R37&gt;7.95),ROUNDDOWN(7.86*(R37-7.95)^1.1,0),0)</f>
        <v>319</v>
      </c>
      <c r="U37" s="24">
        <f>J37*60+L37</f>
        <v>129.86</v>
      </c>
      <c r="V37" s="25">
        <f>IF(U37&gt;0,(INT(POWER(185-U37,1.88)*0.19889)),0)</f>
        <v>373</v>
      </c>
    </row>
    <row r="38" spans="1:22" ht="13.5" thickBot="1">
      <c r="A38" s="136"/>
      <c r="B38" s="14">
        <f>Jednotlivci!L31</f>
        <v>25</v>
      </c>
      <c r="C38" s="15" t="s">
        <v>112</v>
      </c>
      <c r="D38" s="16">
        <v>0</v>
      </c>
      <c r="E38" s="137"/>
      <c r="F38" s="41">
        <f>I38+M38+O38+Q38+S38</f>
        <v>1430</v>
      </c>
      <c r="G38" s="36">
        <f>F33</f>
        <v>5549</v>
      </c>
      <c r="H38" s="207">
        <v>8.7</v>
      </c>
      <c r="I38" s="48">
        <f>IF(AND(H38&gt;6.8,H38&lt;12.8),IF($B$5=1,ROUNDDOWN(46.0849*(12.76-H38)^1.81,0),ROUNDDOWN(46.0849*(13-H38)^1.81,)),0)</f>
        <v>582</v>
      </c>
      <c r="J38" s="89">
        <v>2</v>
      </c>
      <c r="K38" s="31" t="s">
        <v>24</v>
      </c>
      <c r="L38" s="145">
        <v>6.01</v>
      </c>
      <c r="M38" s="60">
        <f>V38</f>
        <v>424</v>
      </c>
      <c r="N38" s="96"/>
      <c r="O38" s="48">
        <f>IF(AND(N38&gt;75),ROUNDDOWN(1.84523*(N38-75)^1.348,0),0)</f>
        <v>0</v>
      </c>
      <c r="P38" s="96">
        <v>350</v>
      </c>
      <c r="Q38" s="48">
        <f>IF(AND(P38&gt;210),ROUNDDOWN(0.188807*(P38-210)^1.41,0),0)</f>
        <v>200</v>
      </c>
      <c r="R38" s="100">
        <v>29</v>
      </c>
      <c r="S38" s="56">
        <f>IF(AND(R38&gt;7.95),ROUNDDOWN(7.86*(R38-7.95)^1.1,0),0)</f>
        <v>224</v>
      </c>
      <c r="U38" s="24">
        <f>J38*60+L38</f>
        <v>126.01</v>
      </c>
      <c r="V38" s="25">
        <f>IF(U38&gt;0,(INT(POWER(185-U38,1.88)*0.19889)),0)</f>
        <v>424</v>
      </c>
    </row>
    <row r="39" spans="6:23" ht="13.5" thickBot="1">
      <c r="F39" s="43"/>
      <c r="G39" s="36">
        <f>F33</f>
        <v>5549</v>
      </c>
      <c r="H39" s="203"/>
      <c r="I39" s="49"/>
      <c r="J39" s="38"/>
      <c r="K39" s="22"/>
      <c r="L39" s="146"/>
      <c r="M39" s="43"/>
      <c r="O39" s="49"/>
      <c r="Q39" s="49"/>
      <c r="R39" s="111"/>
      <c r="S39" s="49"/>
      <c r="W39" s="167"/>
    </row>
    <row r="40" spans="1:23" ht="13.5" thickBot="1">
      <c r="A40" s="7">
        <f>Družstva!A14</f>
        <v>6</v>
      </c>
      <c r="B40" s="33">
        <f>$B$5</f>
        <v>1</v>
      </c>
      <c r="C40" s="8" t="s">
        <v>43</v>
      </c>
      <c r="D40" s="9"/>
      <c r="E40" s="10" t="s">
        <v>32</v>
      </c>
      <c r="F40" s="44">
        <f>SUM(F41:F45)-MIN(F41:F45)</f>
        <v>4562</v>
      </c>
      <c r="G40" s="37">
        <f>F40</f>
        <v>4562</v>
      </c>
      <c r="H40" s="204"/>
      <c r="I40" s="81"/>
      <c r="J40" s="82"/>
      <c r="K40" s="83"/>
      <c r="L40" s="147"/>
      <c r="M40" s="84"/>
      <c r="N40" s="78"/>
      <c r="O40" s="81"/>
      <c r="P40" s="78"/>
      <c r="Q40" s="81"/>
      <c r="R40" s="79"/>
      <c r="S40" s="85"/>
      <c r="W40" s="168"/>
    </row>
    <row r="41" spans="1:23" ht="13.5" thickBot="1">
      <c r="A41" s="138"/>
      <c r="B41" s="139">
        <f>Jednotlivci!L32</f>
        <v>26</v>
      </c>
      <c r="C41" s="12" t="s">
        <v>75</v>
      </c>
      <c r="D41" s="140"/>
      <c r="E41" s="141"/>
      <c r="F41" s="39">
        <f>I41+M41+O41+Q41+S41</f>
        <v>1156</v>
      </c>
      <c r="G41" s="36">
        <f>F40</f>
        <v>4562</v>
      </c>
      <c r="H41" s="126">
        <v>9.2</v>
      </c>
      <c r="I41" s="45">
        <f>IF(AND(H41&gt;6.8,H41&lt;12.8),IF($B$5=1,ROUNDDOWN(46.0849*(12.76-H41)^1.81,0),ROUNDDOWN(46.0849*(13-H41)^1.81,)),0)</f>
        <v>458</v>
      </c>
      <c r="J41" s="86">
        <v>2</v>
      </c>
      <c r="K41" s="32" t="s">
        <v>24</v>
      </c>
      <c r="L41" s="142">
        <v>26.98</v>
      </c>
      <c r="M41" s="57">
        <f>V41</f>
        <v>185</v>
      </c>
      <c r="N41" s="97">
        <v>120</v>
      </c>
      <c r="O41" s="45">
        <f>IF(AND(N41&gt;75),ROUNDDOWN(1.84523*(N41-75)^1.348,0),0)</f>
        <v>312</v>
      </c>
      <c r="P41" s="94"/>
      <c r="Q41" s="45">
        <f>IF(AND(P41&gt;210),ROUNDDOWN(0.188807*(P41-210)^1.41,0),0)</f>
        <v>0</v>
      </c>
      <c r="R41" s="98">
        <v>27</v>
      </c>
      <c r="S41" s="53">
        <f>IF(AND(R41&gt;7.95),ROUNDDOWN(7.86*(R41-7.95)^1.1,0),0)</f>
        <v>201</v>
      </c>
      <c r="U41" s="24">
        <f>J41*60+L41</f>
        <v>146.98</v>
      </c>
      <c r="V41" s="153">
        <f>IF(U41&gt;0,(INT(POWER(185-U41,1.88)*0.19889)),0)</f>
        <v>185</v>
      </c>
      <c r="W41" s="167"/>
    </row>
    <row r="42" spans="1:22" ht="13.5" thickBot="1">
      <c r="A42" s="135"/>
      <c r="B42" s="11">
        <f>Jednotlivci!L33</f>
        <v>27</v>
      </c>
      <c r="C42" s="13" t="s">
        <v>76</v>
      </c>
      <c r="D42" s="133"/>
      <c r="E42" s="134"/>
      <c r="F42" s="40">
        <f>I42+M42+O42+Q42+S42</f>
        <v>918</v>
      </c>
      <c r="G42" s="36">
        <f>F40</f>
        <v>4562</v>
      </c>
      <c r="H42" s="125">
        <v>10.2</v>
      </c>
      <c r="I42" s="47">
        <f>IF(AND(H42&gt;6.8,H42&lt;12.8),IF($B$5=1,ROUNDDOWN(46.0849*(12.76-H42)^1.81,0),ROUNDDOWN(46.0849*(13-H42)^1.81,)),0)</f>
        <v>252</v>
      </c>
      <c r="J42" s="87">
        <v>2</v>
      </c>
      <c r="K42" s="30" t="s">
        <v>24</v>
      </c>
      <c r="L42" s="143">
        <v>21.09</v>
      </c>
      <c r="M42" s="59">
        <f>V42</f>
        <v>243</v>
      </c>
      <c r="N42" s="95">
        <v>110</v>
      </c>
      <c r="O42" s="47">
        <f>IF(AND(N42&gt;75),ROUNDDOWN(1.84523*(N42-75)^1.348,0),0)</f>
        <v>222</v>
      </c>
      <c r="P42" s="95"/>
      <c r="Q42" s="47">
        <f>IF(AND(P42&gt;210),ROUNDDOWN(0.188807*(P42-210)^1.41,0),0)</f>
        <v>0</v>
      </c>
      <c r="R42" s="99">
        <v>27</v>
      </c>
      <c r="S42" s="55">
        <f>IF(AND(R42&gt;7.95),ROUNDDOWN(7.86*(R42-7.95)^1.1,0),0)</f>
        <v>201</v>
      </c>
      <c r="U42" s="24">
        <f>J42*60+L42</f>
        <v>141.09</v>
      </c>
      <c r="V42" s="25">
        <f>IF(U42&gt;0,(INT(POWER(185-U42,1.88)*0.19889)),0)</f>
        <v>243</v>
      </c>
    </row>
    <row r="43" spans="1:22" ht="13.5" thickBot="1">
      <c r="A43" s="135"/>
      <c r="B43" s="11">
        <f>Jednotlivci!L34</f>
        <v>28</v>
      </c>
      <c r="C43" s="13" t="s">
        <v>77</v>
      </c>
      <c r="D43" s="133"/>
      <c r="E43" s="134"/>
      <c r="F43" s="40">
        <f>I43+M43+O43+Q43+S43</f>
        <v>1120</v>
      </c>
      <c r="G43" s="36">
        <f>F40</f>
        <v>4562</v>
      </c>
      <c r="H43" s="125">
        <v>9.3</v>
      </c>
      <c r="I43" s="47">
        <f>IF(AND(H43&gt;6.8,H43&lt;12.8),IF($B$5=1,ROUNDDOWN(46.0849*(12.76-H43)^1.81,0),ROUNDDOWN(46.0849*(13-H43)^1.81,)),0)</f>
        <v>435</v>
      </c>
      <c r="J43" s="88">
        <v>2</v>
      </c>
      <c r="K43" s="20" t="s">
        <v>24</v>
      </c>
      <c r="L43" s="144">
        <v>19.8</v>
      </c>
      <c r="M43" s="59">
        <f>V43</f>
        <v>257</v>
      </c>
      <c r="N43" s="95"/>
      <c r="O43" s="47">
        <f>IF(AND(N43&gt;75),ROUNDDOWN(1.84523*(N43-75)^1.348,0),0)</f>
        <v>0</v>
      </c>
      <c r="P43" s="95">
        <v>390</v>
      </c>
      <c r="Q43" s="47">
        <f>IF(AND(P43&gt;210),ROUNDDOWN(0.188807*(P43-210)^1.41,0),0)</f>
        <v>285</v>
      </c>
      <c r="R43" s="99">
        <v>22</v>
      </c>
      <c r="S43" s="55">
        <f>IF(AND(R43&gt;7.95),ROUNDDOWN(7.86*(R43-7.95)^1.1,0),0)</f>
        <v>143</v>
      </c>
      <c r="U43" s="24">
        <f>J43*60+L43</f>
        <v>139.8</v>
      </c>
      <c r="V43" s="25">
        <f>IF(U43&gt;0,(INT(POWER(185-U43,1.88)*0.19889)),0)</f>
        <v>257</v>
      </c>
    </row>
    <row r="44" spans="1:22" ht="13.5" thickBot="1">
      <c r="A44" s="135"/>
      <c r="B44" s="11">
        <f>Jednotlivci!L35</f>
        <v>29</v>
      </c>
      <c r="C44" s="13" t="s">
        <v>78</v>
      </c>
      <c r="D44" s="133"/>
      <c r="E44" s="134"/>
      <c r="F44" s="40">
        <f>I44+M44+O44+Q44+S44</f>
        <v>1368</v>
      </c>
      <c r="G44" s="36">
        <f>F40</f>
        <v>4562</v>
      </c>
      <c r="H44" s="125">
        <v>9</v>
      </c>
      <c r="I44" s="47">
        <f>IF(AND(H44&gt;6.8,H44&lt;12.8),IF($B$5=1,ROUNDDOWN(46.0849*(12.76-H44)^1.81,0),ROUNDDOWN(46.0849*(13-H44)^1.81,)),0)</f>
        <v>506</v>
      </c>
      <c r="J44" s="87">
        <v>2</v>
      </c>
      <c r="K44" s="30" t="s">
        <v>24</v>
      </c>
      <c r="L44" s="143">
        <v>7.13</v>
      </c>
      <c r="M44" s="59">
        <f>V44</f>
        <v>409</v>
      </c>
      <c r="N44" s="95"/>
      <c r="O44" s="47">
        <f>IF(AND(N44&gt;75),ROUNDDOWN(1.84523*(N44-75)^1.348,0),0)</f>
        <v>0</v>
      </c>
      <c r="P44" s="95">
        <v>361</v>
      </c>
      <c r="Q44" s="47">
        <f>IF(AND(P44&gt;210),ROUNDDOWN(0.188807*(P44-210)^1.41,0),0)</f>
        <v>223</v>
      </c>
      <c r="R44" s="99">
        <v>29.5</v>
      </c>
      <c r="S44" s="55">
        <f>IF(AND(R44&gt;7.95),ROUNDDOWN(7.86*(R44-7.95)^1.1,0),0)</f>
        <v>230</v>
      </c>
      <c r="U44" s="24">
        <f>J44*60+L44</f>
        <v>127.13</v>
      </c>
      <c r="V44" s="25">
        <f>IF(U44&gt;0,(INT(POWER(185-U44,1.88)*0.19889)),0)</f>
        <v>409</v>
      </c>
    </row>
    <row r="45" spans="1:22" ht="13.5" thickBot="1">
      <c r="A45" s="136"/>
      <c r="B45" s="14">
        <f>Jednotlivci!L36</f>
        <v>30</v>
      </c>
      <c r="C45" s="15"/>
      <c r="D45" s="16"/>
      <c r="E45" s="137"/>
      <c r="F45" s="41">
        <f>I45+M45+O45+Q45+S45</f>
        <v>0</v>
      </c>
      <c r="G45" s="36">
        <f>F40</f>
        <v>4562</v>
      </c>
      <c r="H45" s="127">
        <v>0</v>
      </c>
      <c r="I45" s="48">
        <f>IF(AND(H45&gt;6.8,H45&lt;12.8),IF($B$5=1,ROUNDDOWN(46.0849*(12.76-H45)^1.81,0),ROUNDDOWN(46.0849*(13-H45)^1.81,)),0)</f>
        <v>0</v>
      </c>
      <c r="J45" s="89">
        <v>0</v>
      </c>
      <c r="K45" s="31" t="s">
        <v>24</v>
      </c>
      <c r="L45" s="145">
        <v>0</v>
      </c>
      <c r="M45" s="60">
        <f>V45</f>
        <v>0</v>
      </c>
      <c r="N45" s="96"/>
      <c r="O45" s="48">
        <f>IF(AND(N45&gt;75),ROUNDDOWN(1.84523*(N45-75)^1.348,0),0)</f>
        <v>0</v>
      </c>
      <c r="P45" s="96">
        <v>0</v>
      </c>
      <c r="Q45" s="48">
        <f>IF(AND(P45&gt;210),ROUNDDOWN(0.188807*(P45-210)^1.41,0),0)</f>
        <v>0</v>
      </c>
      <c r="R45" s="100">
        <v>0</v>
      </c>
      <c r="S45" s="56">
        <f>IF(AND(R45&gt;7.95),ROUNDDOWN(7.86*(R45-7.95)^1.1,0),0)</f>
        <v>0</v>
      </c>
      <c r="U45" s="24">
        <f>J45*60+L45</f>
        <v>0</v>
      </c>
      <c r="V45" s="25">
        <f>IF(U45&gt;0,(INT(POWER(185-U45,1.88)*0.19889)),0)</f>
        <v>0</v>
      </c>
    </row>
    <row r="46" spans="6:19" ht="13.5" thickBot="1">
      <c r="F46" s="43"/>
      <c r="G46" s="36">
        <f>F40</f>
        <v>4562</v>
      </c>
      <c r="H46" s="203"/>
      <c r="I46" s="49"/>
      <c r="J46" s="38"/>
      <c r="L46" s="146"/>
      <c r="M46" s="43"/>
      <c r="O46" s="49"/>
      <c r="Q46" s="49"/>
      <c r="R46" s="111"/>
      <c r="S46" s="49"/>
    </row>
    <row r="47" spans="1:19" ht="13.5" thickBot="1">
      <c r="A47" s="184">
        <f>Družstva!A15</f>
        <v>7</v>
      </c>
      <c r="B47" s="183">
        <f>$B$5</f>
        <v>1</v>
      </c>
      <c r="C47" s="185" t="s">
        <v>41</v>
      </c>
      <c r="D47" s="186"/>
      <c r="E47" s="187" t="s">
        <v>32</v>
      </c>
      <c r="F47" s="44">
        <f>SUM(F48:F52)-MIN(F48:F52)</f>
        <v>5968</v>
      </c>
      <c r="G47" s="37">
        <f>F47</f>
        <v>5968</v>
      </c>
      <c r="H47" s="204"/>
      <c r="I47" s="81"/>
      <c r="J47" s="82"/>
      <c r="K47" s="83"/>
      <c r="L47" s="147"/>
      <c r="M47" s="84"/>
      <c r="N47" s="78"/>
      <c r="O47" s="81"/>
      <c r="P47" s="78"/>
      <c r="Q47" s="81"/>
      <c r="R47" s="79"/>
      <c r="S47" s="85"/>
    </row>
    <row r="48" spans="1:22" ht="13.5" thickBot="1">
      <c r="A48" s="138"/>
      <c r="B48" s="192">
        <f>Jednotlivci!L37</f>
        <v>31</v>
      </c>
      <c r="C48" s="188" t="s">
        <v>46</v>
      </c>
      <c r="D48" s="140">
        <v>0</v>
      </c>
      <c r="E48" s="141"/>
      <c r="F48" s="39">
        <f>I48+M48+O48+Q48+S48</f>
        <v>1635</v>
      </c>
      <c r="G48" s="36">
        <f>F47</f>
        <v>5968</v>
      </c>
      <c r="H48" s="206">
        <v>8.8</v>
      </c>
      <c r="I48" s="45">
        <f>IF(AND(H48&gt;6.8,H48&lt;12.8),IF($B$5=1,ROUNDDOWN(46.0849*(12.76-H48)^1.81,0),ROUNDDOWN(46.0849*(13-H48)^1.81,)),0)</f>
        <v>556</v>
      </c>
      <c r="J48" s="86">
        <v>2</v>
      </c>
      <c r="K48" s="32" t="s">
        <v>24</v>
      </c>
      <c r="L48" s="142">
        <v>9.7</v>
      </c>
      <c r="M48" s="57">
        <f>V48</f>
        <v>375</v>
      </c>
      <c r="N48" s="97">
        <v>130</v>
      </c>
      <c r="O48" s="45">
        <f>IF(AND(N48&gt;75),ROUNDDOWN(1.84523*(N48-75)^1.348,0),0)</f>
        <v>409</v>
      </c>
      <c r="P48" s="94"/>
      <c r="Q48" s="45">
        <f>IF(AND(P48&gt;210),ROUNDDOWN(0.188807*(P48-210)^1.41,0),0)</f>
        <v>0</v>
      </c>
      <c r="R48" s="98">
        <v>35</v>
      </c>
      <c r="S48" s="53">
        <f>IF(AND(R48&gt;7.95),ROUNDDOWN(7.86*(R48-7.95)^1.1,0),0)</f>
        <v>295</v>
      </c>
      <c r="U48" s="24">
        <f>J48*60+L48</f>
        <v>129.7</v>
      </c>
      <c r="V48" s="25">
        <f>IF(U48&gt;0,(INT(POWER(185-U48,1.88)*0.19889)),0)</f>
        <v>375</v>
      </c>
    </row>
    <row r="49" spans="1:22" ht="13.5" thickBot="1">
      <c r="A49" s="135"/>
      <c r="B49" s="191">
        <f>Jednotlivci!L38</f>
        <v>32</v>
      </c>
      <c r="C49" s="189" t="s">
        <v>79</v>
      </c>
      <c r="D49" s="133">
        <v>0</v>
      </c>
      <c r="E49" s="134"/>
      <c r="F49" s="40">
        <f>I49+M49+O49+Q49+S49</f>
        <v>1070</v>
      </c>
      <c r="G49" s="36">
        <f>F47</f>
        <v>5968</v>
      </c>
      <c r="H49" s="206">
        <v>9.6</v>
      </c>
      <c r="I49" s="47">
        <f>IF(AND(H49&gt;6.8,H49&lt;12.8),IF($B$5=1,ROUNDDOWN(46.0849*(12.76-H49)^1.81,0),ROUNDDOWN(46.0849*(13-H49)^1.81,)),0)</f>
        <v>369</v>
      </c>
      <c r="J49" s="87">
        <v>2</v>
      </c>
      <c r="K49" s="30" t="s">
        <v>24</v>
      </c>
      <c r="L49" s="143">
        <v>17.7</v>
      </c>
      <c r="M49" s="59">
        <f>V49</f>
        <v>280</v>
      </c>
      <c r="N49" s="95">
        <v>115</v>
      </c>
      <c r="O49" s="47">
        <f>IF(AND(N49&gt;75),ROUNDDOWN(1.84523*(N49-75)^1.348,0),0)</f>
        <v>266</v>
      </c>
      <c r="P49" s="95"/>
      <c r="Q49" s="47">
        <f>IF(AND(P49&gt;210),ROUNDDOWN(0.188807*(P49-210)^1.41,0),0)</f>
        <v>0</v>
      </c>
      <c r="R49" s="99">
        <v>23</v>
      </c>
      <c r="S49" s="55">
        <f>IF(AND(R49&gt;7.95),ROUNDDOWN(7.86*(R49-7.95)^1.1,0),0)</f>
        <v>155</v>
      </c>
      <c r="U49" s="24">
        <f>J49*60+L49</f>
        <v>137.7</v>
      </c>
      <c r="V49" s="25">
        <f>IF(U49&gt;0,(INT(POWER(185-U49,1.88)*0.19889)),0)</f>
        <v>280</v>
      </c>
    </row>
    <row r="50" spans="1:22" ht="13.5" thickBot="1">
      <c r="A50" s="135"/>
      <c r="B50" s="191">
        <f>Jednotlivci!L39</f>
        <v>33</v>
      </c>
      <c r="C50" s="189" t="s">
        <v>80</v>
      </c>
      <c r="D50" s="133">
        <v>0</v>
      </c>
      <c r="E50" s="134"/>
      <c r="F50" s="40">
        <f>I50+M50+O50+Q50+S50</f>
        <v>1268</v>
      </c>
      <c r="G50" s="36">
        <f>F47</f>
        <v>5968</v>
      </c>
      <c r="H50" s="206">
        <v>9.3</v>
      </c>
      <c r="I50" s="47">
        <f>IF(AND(H50&gt;6.8,H50&lt;12.8),IF($B$5=1,ROUNDDOWN(46.0849*(12.76-H50)^1.81,0),ROUNDDOWN(46.0849*(13-H50)^1.81,)),0)</f>
        <v>435</v>
      </c>
      <c r="J50" s="88">
        <v>2</v>
      </c>
      <c r="K50" s="20" t="s">
        <v>24</v>
      </c>
      <c r="L50" s="144">
        <v>1.7</v>
      </c>
      <c r="M50" s="59">
        <f>V50</f>
        <v>484</v>
      </c>
      <c r="N50" s="95"/>
      <c r="O50" s="47">
        <f>IF(AND(N50&gt;75),ROUNDDOWN(1.84523*(N50-75)^1.348,0),0)</f>
        <v>0</v>
      </c>
      <c r="P50" s="95">
        <v>336</v>
      </c>
      <c r="Q50" s="47">
        <f>IF(AND(P50&gt;210),ROUNDDOWN(0.188807*(P50-210)^1.41,0),0)</f>
        <v>172</v>
      </c>
      <c r="R50" s="99">
        <v>25</v>
      </c>
      <c r="S50" s="55">
        <f>IF(AND(R50&gt;7.95),ROUNDDOWN(7.86*(R50-7.95)^1.1,0),0)</f>
        <v>177</v>
      </c>
      <c r="U50" s="24">
        <f>J50*60+L50</f>
        <v>121.7</v>
      </c>
      <c r="V50" s="25">
        <f>IF(U50&gt;0,(INT(POWER(185-U50,1.88)*0.19889)),0)</f>
        <v>484</v>
      </c>
    </row>
    <row r="51" spans="1:22" ht="13.5" thickBot="1">
      <c r="A51" s="135"/>
      <c r="B51" s="191">
        <f>Jednotlivci!L40</f>
        <v>34</v>
      </c>
      <c r="C51" s="189" t="s">
        <v>81</v>
      </c>
      <c r="D51" s="133">
        <v>0</v>
      </c>
      <c r="E51" s="134"/>
      <c r="F51" s="40">
        <f>I51+M51+O51+Q51+S51</f>
        <v>1323</v>
      </c>
      <c r="G51" s="36">
        <f>F47</f>
        <v>5968</v>
      </c>
      <c r="H51" s="206">
        <v>9.6</v>
      </c>
      <c r="I51" s="47">
        <f>IF(AND(H51&gt;6.8,H51&lt;12.8),IF($B$5=1,ROUNDDOWN(46.0849*(12.76-H51)^1.81,0),ROUNDDOWN(46.0849*(13-H51)^1.81,)),0)</f>
        <v>369</v>
      </c>
      <c r="J51" s="87">
        <v>2</v>
      </c>
      <c r="K51" s="30" t="s">
        <v>24</v>
      </c>
      <c r="L51" s="143">
        <v>2.26</v>
      </c>
      <c r="M51" s="59">
        <f>V51</f>
        <v>476</v>
      </c>
      <c r="N51" s="95"/>
      <c r="O51" s="47">
        <f>IF(AND(N51&gt;75),ROUNDDOWN(1.84523*(N51-75)^1.348,0),0)</f>
        <v>0</v>
      </c>
      <c r="P51" s="95">
        <v>397</v>
      </c>
      <c r="Q51" s="47">
        <f>IF(AND(P51&gt;210),ROUNDDOWN(0.188807*(P51-210)^1.41,0),0)</f>
        <v>301</v>
      </c>
      <c r="R51" s="99">
        <v>25</v>
      </c>
      <c r="S51" s="55">
        <f>IF(AND(R51&gt;7.95),ROUNDDOWN(7.86*(R51-7.95)^1.1,0),0)</f>
        <v>177</v>
      </c>
      <c r="U51" s="24">
        <f>J51*60+L51</f>
        <v>122.26</v>
      </c>
      <c r="V51" s="25">
        <f>IF(U51&gt;0,(INT(POWER(185-U51,1.88)*0.19889)),0)</f>
        <v>476</v>
      </c>
    </row>
    <row r="52" spans="1:22" ht="13.5" thickBot="1">
      <c r="A52" s="136"/>
      <c r="B52" s="193">
        <f>Jednotlivci!L41</f>
        <v>34</v>
      </c>
      <c r="C52" s="190" t="s">
        <v>82</v>
      </c>
      <c r="D52" s="16">
        <v>0</v>
      </c>
      <c r="E52" s="137"/>
      <c r="F52" s="41">
        <f>I52+M52+O52+Q52+S52</f>
        <v>1742</v>
      </c>
      <c r="G52" s="36">
        <f>F47</f>
        <v>5968</v>
      </c>
      <c r="H52" s="207">
        <v>8.2</v>
      </c>
      <c r="I52" s="48">
        <f>IF(AND(H52&gt;6.8,H52&lt;12.8),IF($B$5=1,ROUNDDOWN(46.0849*(12.76-H52)^1.81,0),ROUNDDOWN(46.0849*(13-H52)^1.81,)),0)</f>
        <v>718</v>
      </c>
      <c r="J52" s="89">
        <v>1</v>
      </c>
      <c r="K52" s="31" t="s">
        <v>24</v>
      </c>
      <c r="L52" s="145">
        <v>59.86</v>
      </c>
      <c r="M52" s="60">
        <f>V52</f>
        <v>511</v>
      </c>
      <c r="N52" s="96"/>
      <c r="O52" s="48">
        <f>IF(AND(N52&gt;75),ROUNDDOWN(1.84523*(N52-75)^1.348,0),0)</f>
        <v>0</v>
      </c>
      <c r="P52" s="96">
        <v>431</v>
      </c>
      <c r="Q52" s="48">
        <f>IF(AND(P52&gt;210),ROUNDDOWN(0.188807*(P52-210)^1.41,0),0)</f>
        <v>381</v>
      </c>
      <c r="R52" s="100">
        <v>21</v>
      </c>
      <c r="S52" s="56">
        <f>IF(AND(R52&gt;7.95),ROUNDDOWN(7.86*(R52-7.95)^1.1,0),0)</f>
        <v>132</v>
      </c>
      <c r="U52" s="24">
        <f>J52*60+L52</f>
        <v>119.86</v>
      </c>
      <c r="V52" s="25">
        <f>IF(U52&gt;0,(INT(POWER(185-U52,1.88)*0.19889)),0)</f>
        <v>511</v>
      </c>
    </row>
    <row r="53" spans="6:19" ht="13.5" thickBot="1">
      <c r="F53" s="43"/>
      <c r="G53" s="36">
        <f>F47</f>
        <v>5968</v>
      </c>
      <c r="H53" s="203"/>
      <c r="I53" s="49"/>
      <c r="J53" s="38"/>
      <c r="K53" s="22"/>
      <c r="L53" s="146"/>
      <c r="M53" s="43"/>
      <c r="O53" s="49"/>
      <c r="Q53" s="49"/>
      <c r="R53" s="111"/>
      <c r="S53" s="49"/>
    </row>
    <row r="54" spans="1:19" ht="13.5" thickBot="1">
      <c r="A54" s="7">
        <f>Družstva!A16</f>
        <v>8</v>
      </c>
      <c r="B54" s="33">
        <f>$B$5</f>
        <v>1</v>
      </c>
      <c r="C54" s="8" t="s">
        <v>34</v>
      </c>
      <c r="D54" s="9"/>
      <c r="E54" s="10" t="s">
        <v>32</v>
      </c>
      <c r="F54" s="44">
        <f>SUM(F55:F59)-MIN(F55:F59)</f>
        <v>3839</v>
      </c>
      <c r="G54" s="37">
        <f>F54</f>
        <v>3839</v>
      </c>
      <c r="H54" s="204"/>
      <c r="I54" s="81"/>
      <c r="J54" s="82"/>
      <c r="K54" s="83"/>
      <c r="L54" s="147"/>
      <c r="M54" s="84"/>
      <c r="N54" s="78"/>
      <c r="O54" s="81"/>
      <c r="P54" s="78"/>
      <c r="Q54" s="81"/>
      <c r="R54" s="79"/>
      <c r="S54" s="85"/>
    </row>
    <row r="55" spans="1:22" ht="13.5" thickBot="1">
      <c r="A55" s="138"/>
      <c r="B55" s="139">
        <f>Jednotlivci!L42</f>
        <v>36</v>
      </c>
      <c r="C55" s="12" t="s">
        <v>83</v>
      </c>
      <c r="D55" s="140"/>
      <c r="E55" s="141"/>
      <c r="F55" s="39">
        <f>I55+M55+O55+Q55+S55</f>
        <v>1033</v>
      </c>
      <c r="G55" s="36">
        <f>F54</f>
        <v>3839</v>
      </c>
      <c r="H55" s="126">
        <v>9.3</v>
      </c>
      <c r="I55" s="45">
        <f>IF(AND(H55&gt;6.8,H55&lt;12.8),IF($B$5=1,ROUNDDOWN(46.0849*(12.76-H55)^1.81,0),ROUNDDOWN(46.0849*(13-H55)^1.81,)),0)</f>
        <v>435</v>
      </c>
      <c r="J55" s="86">
        <v>2</v>
      </c>
      <c r="K55" s="32" t="s">
        <v>24</v>
      </c>
      <c r="L55" s="142">
        <v>38.3</v>
      </c>
      <c r="M55" s="57">
        <f>V55</f>
        <v>95</v>
      </c>
      <c r="N55" s="97">
        <v>130</v>
      </c>
      <c r="O55" s="45">
        <f>IF(AND(N55&gt;75),ROUNDDOWN(1.84523*(N55-75)^1.348,0),0)</f>
        <v>409</v>
      </c>
      <c r="P55" s="94">
        <v>0</v>
      </c>
      <c r="Q55" s="45">
        <f>IF(AND(P55&gt;210),ROUNDDOWN(0.188807*(P55-210)^1.41,0),0)</f>
        <v>0</v>
      </c>
      <c r="R55" s="101">
        <v>17.5</v>
      </c>
      <c r="S55" s="53">
        <f>IF(AND(R55&gt;7.95),ROUNDDOWN(7.86*(R55-7.95)^1.1,0),0)</f>
        <v>94</v>
      </c>
      <c r="U55" s="24">
        <f>J55*60+L55</f>
        <v>158.3</v>
      </c>
      <c r="V55" s="25">
        <f>IF(U55&gt;0,(INT(POWER(185-U55,1.88)*0.19889)),0)</f>
        <v>95</v>
      </c>
    </row>
    <row r="56" spans="1:22" ht="13.5" thickBot="1">
      <c r="A56" s="135"/>
      <c r="B56" s="11">
        <f>Jednotlivci!L43</f>
        <v>37</v>
      </c>
      <c r="C56" s="13" t="s">
        <v>84</v>
      </c>
      <c r="D56" s="133"/>
      <c r="E56" s="134"/>
      <c r="F56" s="40">
        <f>I56+M56+O56+Q56+S56</f>
        <v>780</v>
      </c>
      <c r="G56" s="36">
        <f>F54</f>
        <v>3839</v>
      </c>
      <c r="H56" s="205">
        <v>10.3</v>
      </c>
      <c r="I56" s="47">
        <f>IF(AND(H56&gt;6.8,H56&lt;12.8),IF($B$5=1,ROUNDDOWN(46.0849*(12.76-H56)^1.81,0),ROUNDDOWN(46.0849*(13-H56)^1.81,)),0)</f>
        <v>235</v>
      </c>
      <c r="J56" s="87">
        <v>2</v>
      </c>
      <c r="K56" s="30" t="s">
        <v>24</v>
      </c>
      <c r="L56" s="143">
        <v>33.01</v>
      </c>
      <c r="M56" s="59">
        <f>V56</f>
        <v>134</v>
      </c>
      <c r="N56" s="95">
        <v>110</v>
      </c>
      <c r="O56" s="47">
        <f>IF(AND(N56&gt;75),ROUNDDOWN(1.84523*(N56-75)^1.348,0),0)</f>
        <v>222</v>
      </c>
      <c r="P56" s="95">
        <v>0</v>
      </c>
      <c r="Q56" s="47">
        <f>IF(AND(P56&gt;210),ROUNDDOWN(0.188807*(P56-210)^1.41,0),0)</f>
        <v>0</v>
      </c>
      <c r="R56" s="99">
        <v>26</v>
      </c>
      <c r="S56" s="55">
        <f>IF(AND(R56&gt;7.95),ROUNDDOWN(7.86*(R56-7.95)^1.1,0),0)</f>
        <v>189</v>
      </c>
      <c r="U56" s="24">
        <f>J56*60+L56</f>
        <v>153.01</v>
      </c>
      <c r="V56" s="25">
        <f>IF(U56&gt;0,(INT(POWER(185-U56,1.88)*0.19889)),0)</f>
        <v>134</v>
      </c>
    </row>
    <row r="57" spans="1:22" ht="13.5" thickBot="1">
      <c r="A57" s="135"/>
      <c r="B57" s="11">
        <f>Jednotlivci!L44</f>
        <v>38</v>
      </c>
      <c r="C57" s="13" t="s">
        <v>85</v>
      </c>
      <c r="D57" s="133"/>
      <c r="E57" s="134"/>
      <c r="F57" s="40">
        <f>I57+M57+O57+Q57+S57</f>
        <v>715</v>
      </c>
      <c r="G57" s="36">
        <f>F54</f>
        <v>3839</v>
      </c>
      <c r="H57" s="205">
        <v>9.7</v>
      </c>
      <c r="I57" s="47">
        <f>IF(AND(H57&gt;6.8,H57&lt;12.8),IF($B$5=1,ROUNDDOWN(46.0849*(12.76-H57)^1.81,0),ROUNDDOWN(46.0849*(13-H57)^1.81,)),0)</f>
        <v>348</v>
      </c>
      <c r="J57" s="88">
        <v>2</v>
      </c>
      <c r="K57" s="20" t="s">
        <v>24</v>
      </c>
      <c r="L57" s="144">
        <v>39.54</v>
      </c>
      <c r="M57" s="59">
        <f>V57</f>
        <v>87</v>
      </c>
      <c r="N57" s="95"/>
      <c r="O57" s="47">
        <f>IF(AND(N57&gt;75),ROUNDDOWN(1.84523*(N57-75)^1.348,0),0)</f>
        <v>0</v>
      </c>
      <c r="P57" s="95">
        <v>335</v>
      </c>
      <c r="Q57" s="47">
        <f>IF(AND(P57&gt;210),ROUNDDOWN(0.188807*(P57-210)^1.41,0),0)</f>
        <v>170</v>
      </c>
      <c r="R57" s="99">
        <v>19</v>
      </c>
      <c r="S57" s="55">
        <f>IF(AND(R57&gt;7.95),ROUNDDOWN(7.86*(R57-7.95)^1.1,0),0)</f>
        <v>110</v>
      </c>
      <c r="U57" s="24">
        <f>J57*60+L57</f>
        <v>159.54</v>
      </c>
      <c r="V57" s="25">
        <f>IF(U57&gt;0,(INT(POWER(185-U57,1.88)*0.19889)),0)</f>
        <v>87</v>
      </c>
    </row>
    <row r="58" spans="1:22" ht="13.5" thickBot="1">
      <c r="A58" s="135"/>
      <c r="B58" s="11">
        <f>Jednotlivci!L45</f>
        <v>38</v>
      </c>
      <c r="C58" s="13" t="s">
        <v>86</v>
      </c>
      <c r="D58" s="133"/>
      <c r="E58" s="134"/>
      <c r="F58" s="40">
        <f>I58+M58+O58+Q58+S58</f>
        <v>1140</v>
      </c>
      <c r="G58" s="36">
        <f>F54</f>
        <v>3839</v>
      </c>
      <c r="H58" s="205">
        <v>9.8</v>
      </c>
      <c r="I58" s="47">
        <f>IF(AND(H58&gt;6.8,H58&lt;12.8),IF($B$5=1,ROUNDDOWN(46.0849*(12.76-H58)^1.81,0),ROUNDDOWN(46.0849*(13-H58)^1.81,)),0)</f>
        <v>328</v>
      </c>
      <c r="J58" s="87">
        <v>2</v>
      </c>
      <c r="K58" s="30" t="s">
        <v>24</v>
      </c>
      <c r="L58" s="143">
        <v>16.51</v>
      </c>
      <c r="M58" s="59">
        <f>V58</f>
        <v>293</v>
      </c>
      <c r="N58" s="95"/>
      <c r="O58" s="47">
        <f>IF(AND(N58&gt;75),ROUNDDOWN(1.84523*(N58-75)^1.348,0),0)</f>
        <v>0</v>
      </c>
      <c r="P58" s="95">
        <v>353</v>
      </c>
      <c r="Q58" s="47">
        <f>IF(AND(P58&gt;210),ROUNDDOWN(0.188807*(P58-210)^1.41,0),0)</f>
        <v>206</v>
      </c>
      <c r="R58" s="99">
        <v>36.5</v>
      </c>
      <c r="S58" s="55">
        <f>IF(AND(R58&gt;7.95),ROUNDDOWN(7.86*(R58-7.95)^1.1,0),0)</f>
        <v>313</v>
      </c>
      <c r="U58" s="24">
        <f>J58*60+L58</f>
        <v>136.51</v>
      </c>
      <c r="V58" s="25">
        <f>IF(U58&gt;0,(INT(POWER(185-U58,1.88)*0.19889)),0)</f>
        <v>293</v>
      </c>
    </row>
    <row r="59" spans="1:22" ht="13.5" thickBot="1">
      <c r="A59" s="136"/>
      <c r="B59" s="14">
        <f>Jednotlivci!L46</f>
        <v>40</v>
      </c>
      <c r="C59" s="15" t="s">
        <v>87</v>
      </c>
      <c r="D59" s="16"/>
      <c r="E59" s="137"/>
      <c r="F59" s="41">
        <f>I59+M59+O59+Q59+S59</f>
        <v>886</v>
      </c>
      <c r="G59" s="36">
        <f>F54</f>
        <v>3839</v>
      </c>
      <c r="H59" s="202">
        <v>9.2</v>
      </c>
      <c r="I59" s="48">
        <f>IF(AND(H59&gt;6.8,H59&lt;12.8),IF($B$5=1,ROUNDDOWN(46.0849*(12.76-H59)^1.81,0),ROUNDDOWN(46.0849*(13-H59)^1.81,)),0)</f>
        <v>458</v>
      </c>
      <c r="J59" s="89">
        <v>2</v>
      </c>
      <c r="K59" s="31" t="s">
        <v>24</v>
      </c>
      <c r="L59" s="145">
        <v>34.86</v>
      </c>
      <c r="M59" s="60">
        <f>V59</f>
        <v>120</v>
      </c>
      <c r="N59" s="96"/>
      <c r="O59" s="48">
        <f>IF(AND(N59&gt;75),ROUNDDOWN(1.84523*(N59-75)^1.348,0),0)</f>
        <v>0</v>
      </c>
      <c r="P59" s="96">
        <v>314</v>
      </c>
      <c r="Q59" s="48">
        <f>IF(AND(P59&gt;210),ROUNDDOWN(0.188807*(P59-210)^1.41,0),0)</f>
        <v>131</v>
      </c>
      <c r="R59" s="100">
        <v>25</v>
      </c>
      <c r="S59" s="56">
        <f>IF(AND(R59&gt;7.95),ROUNDDOWN(7.86*(R59-7.95)^1.1,0),0)</f>
        <v>177</v>
      </c>
      <c r="U59" s="24">
        <f>J59*60+L59</f>
        <v>154.86</v>
      </c>
      <c r="V59" s="25">
        <f>IF(U59&gt;0,(INT(POWER(185-U59,1.88)*0.19889)),0)</f>
        <v>120</v>
      </c>
    </row>
    <row r="60" spans="6:19" ht="13.5" thickBot="1">
      <c r="F60" s="43"/>
      <c r="G60" s="36">
        <f>F54</f>
        <v>3839</v>
      </c>
      <c r="H60" s="203"/>
      <c r="I60" s="49"/>
      <c r="J60" s="38"/>
      <c r="L60" s="146"/>
      <c r="M60" s="43"/>
      <c r="O60" s="49"/>
      <c r="Q60" s="49"/>
      <c r="R60" s="111"/>
      <c r="S60" s="49"/>
    </row>
    <row r="61" spans="1:19" ht="13.5" thickBot="1">
      <c r="A61" s="184">
        <f>Družstva!A17</f>
        <v>9</v>
      </c>
      <c r="B61" s="183">
        <f>$B$5</f>
        <v>1</v>
      </c>
      <c r="C61" s="185" t="s">
        <v>44</v>
      </c>
      <c r="D61" s="186"/>
      <c r="E61" s="187" t="s">
        <v>32</v>
      </c>
      <c r="F61" s="44">
        <f>SUM(F62:F66)-MIN(F62:F66)</f>
        <v>6569</v>
      </c>
      <c r="G61" s="37">
        <f>F61</f>
        <v>6569</v>
      </c>
      <c r="H61" s="204"/>
      <c r="I61" s="81"/>
      <c r="J61" s="82"/>
      <c r="K61" s="83"/>
      <c r="L61" s="147"/>
      <c r="M61" s="84"/>
      <c r="N61" s="78"/>
      <c r="O61" s="81"/>
      <c r="P61" s="78"/>
      <c r="Q61" s="81"/>
      <c r="R61" s="79"/>
      <c r="S61" s="85"/>
    </row>
    <row r="62" spans="1:22" ht="13.5" thickBot="1">
      <c r="A62" s="138"/>
      <c r="B62" s="192">
        <f>Jednotlivci!L47</f>
        <v>41</v>
      </c>
      <c r="C62" s="188" t="s">
        <v>51</v>
      </c>
      <c r="D62" s="140"/>
      <c r="E62" s="141"/>
      <c r="F62" s="39">
        <f>I62+M62+O62+Q62+S62</f>
        <v>1629</v>
      </c>
      <c r="G62" s="36">
        <f>F61</f>
        <v>6569</v>
      </c>
      <c r="H62" s="126">
        <v>8.6</v>
      </c>
      <c r="I62" s="45">
        <f>IF(AND(H62&gt;6.8,H62&lt;12.8),IF($B$5=1,ROUNDDOWN(46.0849*(12.76-H62)^1.81,0),ROUNDDOWN(46.0849*(13-H62)^1.81,)),0)</f>
        <v>608</v>
      </c>
      <c r="J62" s="86">
        <v>2</v>
      </c>
      <c r="K62" s="32" t="s">
        <v>24</v>
      </c>
      <c r="L62" s="142">
        <v>9.98</v>
      </c>
      <c r="M62" s="57">
        <f>V62</f>
        <v>372</v>
      </c>
      <c r="N62" s="97">
        <v>135</v>
      </c>
      <c r="O62" s="45">
        <f>IF(AND(N62&gt;75),ROUNDDOWN(1.84523*(N62-75)^1.348,0),0)</f>
        <v>460</v>
      </c>
      <c r="P62" s="94"/>
      <c r="Q62" s="45">
        <f>IF(AND(P62&gt;210),ROUNDDOWN(0.188807*(P62-210)^1.41,0),0)</f>
        <v>0</v>
      </c>
      <c r="R62" s="101">
        <v>26</v>
      </c>
      <c r="S62" s="53">
        <f>IF(AND(R62&gt;7.95),ROUNDDOWN(7.86*(R62-7.95)^1.1,0),0)</f>
        <v>189</v>
      </c>
      <c r="U62" s="24">
        <f>J62*60+L62</f>
        <v>129.98</v>
      </c>
      <c r="V62" s="25">
        <f>IF(U62&gt;0,(INT(POWER(185-U62,1.88)*0.19889)),0)</f>
        <v>372</v>
      </c>
    </row>
    <row r="63" spans="1:22" ht="13.5" thickBot="1">
      <c r="A63" s="135"/>
      <c r="B63" s="191">
        <f>Jednotlivci!L48</f>
        <v>42</v>
      </c>
      <c r="C63" s="189" t="s">
        <v>88</v>
      </c>
      <c r="D63" s="133"/>
      <c r="E63" s="134"/>
      <c r="F63" s="40">
        <f>I63+M63+O63+Q63+S63</f>
        <v>1701</v>
      </c>
      <c r="G63" s="36">
        <f>F61</f>
        <v>6569</v>
      </c>
      <c r="H63" s="205">
        <v>9</v>
      </c>
      <c r="I63" s="47">
        <f>IF(AND(H63&gt;6.8,H63&lt;12.8),IF($B$5=1,ROUNDDOWN(46.0849*(12.76-H63)^1.81,0),ROUNDDOWN(46.0849*(13-H63)^1.81,)),0)</f>
        <v>506</v>
      </c>
      <c r="J63" s="87">
        <v>1</v>
      </c>
      <c r="K63" s="30" t="s">
        <v>24</v>
      </c>
      <c r="L63" s="143">
        <v>56.09</v>
      </c>
      <c r="M63" s="59">
        <f>V63</f>
        <v>568</v>
      </c>
      <c r="N63" s="95">
        <v>130</v>
      </c>
      <c r="O63" s="47">
        <f>IF(AND(N63&gt;75),ROUNDDOWN(1.84523*(N63-75)^1.348,0),0)</f>
        <v>409</v>
      </c>
      <c r="P63" s="95"/>
      <c r="Q63" s="47">
        <f>IF(AND(P63&gt;210),ROUNDDOWN(0.188807*(P63-210)^1.41,0),0)</f>
        <v>0</v>
      </c>
      <c r="R63" s="99">
        <v>28.5</v>
      </c>
      <c r="S63" s="55">
        <f>IF(AND(R63&gt;7.95),ROUNDDOWN(7.86*(R63-7.95)^1.1,0),0)</f>
        <v>218</v>
      </c>
      <c r="U63" s="24">
        <f>J63*60+L63</f>
        <v>116.09</v>
      </c>
      <c r="V63" s="25">
        <f>IF(U63&gt;0,(INT(POWER(185-U63,1.88)*0.19889)),0)</f>
        <v>568</v>
      </c>
    </row>
    <row r="64" spans="1:22" ht="13.5" thickBot="1">
      <c r="A64" s="135"/>
      <c r="B64" s="191">
        <f>Jednotlivci!L49</f>
        <v>43</v>
      </c>
      <c r="C64" s="189" t="s">
        <v>89</v>
      </c>
      <c r="D64" s="133"/>
      <c r="E64" s="134"/>
      <c r="F64" s="40">
        <f>I64+M64+O64+Q64+S64</f>
        <v>1472</v>
      </c>
      <c r="G64" s="36">
        <f>F61</f>
        <v>6569</v>
      </c>
      <c r="H64" s="205">
        <v>9.1</v>
      </c>
      <c r="I64" s="47">
        <f>IF(AND(H64&gt;6.8,H64&lt;12.8),IF($B$5=1,ROUNDDOWN(46.0849*(12.76-H64)^1.81,0),ROUNDDOWN(46.0849*(13-H64)^1.81,)),0)</f>
        <v>482</v>
      </c>
      <c r="J64" s="88">
        <v>2</v>
      </c>
      <c r="K64" s="20" t="s">
        <v>24</v>
      </c>
      <c r="L64" s="144">
        <v>3.32</v>
      </c>
      <c r="M64" s="59">
        <f>V64</f>
        <v>461</v>
      </c>
      <c r="N64" s="95"/>
      <c r="O64" s="47">
        <f>IF(AND(N64&gt;75),ROUNDDOWN(1.84523*(N64-75)^1.348,0),0)</f>
        <v>0</v>
      </c>
      <c r="P64" s="95">
        <v>404</v>
      </c>
      <c r="Q64" s="47">
        <f>IF(AND(P64&gt;210),ROUNDDOWN(0.188807*(P64-210)^1.41,0),0)</f>
        <v>317</v>
      </c>
      <c r="R64" s="99">
        <v>28</v>
      </c>
      <c r="S64" s="55">
        <f>IF(AND(R64&gt;7.95),ROUNDDOWN(7.86*(R64-7.95)^1.1,0),0)</f>
        <v>212</v>
      </c>
      <c r="U64" s="24">
        <f>J64*60+L64</f>
        <v>123.32</v>
      </c>
      <c r="V64" s="25">
        <f>IF(U64&gt;0,(INT(POWER(185-U64,1.88)*0.19889)),0)</f>
        <v>461</v>
      </c>
    </row>
    <row r="65" spans="1:22" ht="13.5" thickBot="1">
      <c r="A65" s="135"/>
      <c r="B65" s="191">
        <f>Jednotlivci!L50</f>
        <v>44</v>
      </c>
      <c r="C65" s="189" t="s">
        <v>52</v>
      </c>
      <c r="D65" s="133"/>
      <c r="E65" s="134"/>
      <c r="F65" s="40">
        <f>I65+M65+O65+Q65+S65</f>
        <v>1767</v>
      </c>
      <c r="G65" s="36">
        <f>F61</f>
        <v>6569</v>
      </c>
      <c r="H65" s="205">
        <v>8.4</v>
      </c>
      <c r="I65" s="47">
        <f>IF(AND(H65&gt;6.8,H65&lt;12.8),IF($B$5=1,ROUNDDOWN(46.0849*(12.76-H65)^1.81,0),ROUNDDOWN(46.0849*(13-H65)^1.81,)),0)</f>
        <v>662</v>
      </c>
      <c r="J65" s="87">
        <v>1</v>
      </c>
      <c r="K65" s="30" t="s">
        <v>24</v>
      </c>
      <c r="L65" s="143">
        <v>57.42</v>
      </c>
      <c r="M65" s="59">
        <f>V65</f>
        <v>547</v>
      </c>
      <c r="N65" s="95"/>
      <c r="O65" s="47">
        <f>IF(AND(N65&gt;75),ROUNDDOWN(1.84523*(N65-75)^1.348,0),0)</f>
        <v>0</v>
      </c>
      <c r="P65" s="95">
        <v>438</v>
      </c>
      <c r="Q65" s="47">
        <f>IF(AND(P65&gt;210),ROUNDDOWN(0.188807*(P65-210)^1.41,0),0)</f>
        <v>398</v>
      </c>
      <c r="R65" s="99">
        <v>23.5</v>
      </c>
      <c r="S65" s="55">
        <f>IF(AND(R65&gt;7.95),ROUNDDOWN(7.86*(R65-7.95)^1.1,0),0)</f>
        <v>160</v>
      </c>
      <c r="U65" s="24">
        <f>J65*60+L65</f>
        <v>117.42</v>
      </c>
      <c r="V65" s="25">
        <f>IF(U65&gt;0,(INT(POWER(185-U65,1.88)*0.19889)),0)</f>
        <v>547</v>
      </c>
    </row>
    <row r="66" spans="1:22" ht="13.5" thickBot="1">
      <c r="A66" s="136"/>
      <c r="B66" s="193">
        <f>Jednotlivci!L51</f>
        <v>45</v>
      </c>
      <c r="C66" s="190" t="s">
        <v>90</v>
      </c>
      <c r="D66" s="16"/>
      <c r="E66" s="137"/>
      <c r="F66" s="41">
        <f>I66+M66+O66+Q66+S66</f>
        <v>1169</v>
      </c>
      <c r="G66" s="36">
        <f>F61</f>
        <v>6569</v>
      </c>
      <c r="H66" s="202">
        <v>9.5</v>
      </c>
      <c r="I66" s="48">
        <f>IF(AND(H66&gt;6.8,H66&lt;12.8),IF($B$5=1,ROUNDDOWN(46.0849*(12.76-H66)^1.81,0),ROUNDDOWN(46.0849*(13-H66)^1.81,)),0)</f>
        <v>391</v>
      </c>
      <c r="J66" s="89">
        <v>2</v>
      </c>
      <c r="K66" s="31" t="s">
        <v>24</v>
      </c>
      <c r="L66" s="145">
        <v>9.16</v>
      </c>
      <c r="M66" s="60">
        <f>V66</f>
        <v>382</v>
      </c>
      <c r="N66" s="96"/>
      <c r="O66" s="48">
        <f>IF(AND(N66&gt;75),ROUNDDOWN(1.84523*(N66-75)^1.348,0),0)</f>
        <v>0</v>
      </c>
      <c r="P66" s="96">
        <v>342</v>
      </c>
      <c r="Q66" s="48">
        <f>IF(AND(P66&gt;210),ROUNDDOWN(0.188807*(P66-210)^1.41,0),0)</f>
        <v>184</v>
      </c>
      <c r="R66" s="100">
        <v>28</v>
      </c>
      <c r="S66" s="56">
        <f>IF(AND(R66&gt;7.95),ROUNDDOWN(7.86*(R66-7.95)^1.1,0),0)</f>
        <v>212</v>
      </c>
      <c r="U66" s="24">
        <f>J66*60+L66</f>
        <v>129.16</v>
      </c>
      <c r="V66" s="25">
        <f>IF(U66&gt;0,(INT(POWER(185-U66,1.88)*0.19889)),0)</f>
        <v>382</v>
      </c>
    </row>
    <row r="67" spans="6:19" ht="13.5" thickBot="1">
      <c r="F67" s="43"/>
      <c r="G67" s="36">
        <f>F61</f>
        <v>6569</v>
      </c>
      <c r="H67" s="203"/>
      <c r="I67" s="49"/>
      <c r="J67" s="38"/>
      <c r="K67" s="22"/>
      <c r="L67" s="146"/>
      <c r="M67" s="43"/>
      <c r="O67" s="49"/>
      <c r="Q67" s="49"/>
      <c r="R67" s="111"/>
      <c r="S67" s="49"/>
    </row>
    <row r="68" spans="1:22" ht="13.5" thickBot="1">
      <c r="A68" s="184">
        <f>Družstva!A18</f>
        <v>10</v>
      </c>
      <c r="B68" s="196">
        <f>B5</f>
        <v>1</v>
      </c>
      <c r="C68" s="185" t="s">
        <v>91</v>
      </c>
      <c r="D68" s="186"/>
      <c r="E68" s="187" t="s">
        <v>32</v>
      </c>
      <c r="F68" s="44">
        <f>SUM(F69:F73)-MIN(F69:F73)</f>
        <v>6715</v>
      </c>
      <c r="G68" s="37">
        <f>F68</f>
        <v>6715</v>
      </c>
      <c r="H68" s="204"/>
      <c r="I68" s="81"/>
      <c r="J68" s="82"/>
      <c r="K68" s="83"/>
      <c r="L68" s="147"/>
      <c r="M68" s="84"/>
      <c r="N68" s="78"/>
      <c r="O68" s="81"/>
      <c r="P68" s="78"/>
      <c r="Q68" s="81"/>
      <c r="R68" s="79"/>
      <c r="S68" s="85"/>
      <c r="V68" s="23"/>
    </row>
    <row r="69" spans="1:22" ht="13.5" thickBot="1">
      <c r="A69" s="138"/>
      <c r="B69" s="192">
        <f>Jednotlivci!L52</f>
        <v>46</v>
      </c>
      <c r="C69" s="194" t="s">
        <v>92</v>
      </c>
      <c r="D69" s="140"/>
      <c r="E69" s="141"/>
      <c r="F69" s="39">
        <f>I69+M69+O69+Q69+S69</f>
        <v>1486</v>
      </c>
      <c r="G69" s="36">
        <f>F68</f>
        <v>6715</v>
      </c>
      <c r="H69" s="126">
        <v>9.1</v>
      </c>
      <c r="I69" s="45">
        <f>IF(AND(H69&gt;6.8,H69&lt;12.8),IF($B$5=1,ROUNDDOWN(46.0849*(12.76-H69)^1.81,0),ROUNDDOWN(46.0849*(13-H69)^1.81,)),0)</f>
        <v>482</v>
      </c>
      <c r="J69" s="86">
        <v>2</v>
      </c>
      <c r="K69" s="32" t="s">
        <v>24</v>
      </c>
      <c r="L69" s="142">
        <v>22.09</v>
      </c>
      <c r="M69" s="57">
        <f>V69</f>
        <v>233</v>
      </c>
      <c r="N69" s="97">
        <v>130</v>
      </c>
      <c r="O69" s="45">
        <f>IF(AND(N69&gt;75),ROUNDDOWN(1.84523*(N69-75)^1.348,0),0)</f>
        <v>409</v>
      </c>
      <c r="P69" s="97"/>
      <c r="Q69" s="45">
        <f>IF(AND(P69&gt;210),ROUNDDOWN(0.188807*(P69-210)^1.41,0),0)</f>
        <v>0</v>
      </c>
      <c r="R69" s="101">
        <v>40.5</v>
      </c>
      <c r="S69" s="53">
        <f>IF(AND(R69&gt;7.95),ROUNDDOWN(7.86*(R69-7.95)^1.1,0),0)</f>
        <v>362</v>
      </c>
      <c r="U69" s="24">
        <f>J69*60+L69</f>
        <v>142.09</v>
      </c>
      <c r="V69" s="25">
        <f>IF(U69&gt;0,(INT(POWER(185-U69,1.88)*0.19889)),0)</f>
        <v>233</v>
      </c>
    </row>
    <row r="70" spans="1:22" ht="13.5" thickBot="1">
      <c r="A70" s="135"/>
      <c r="B70" s="191">
        <f>Jednotlivci!L53</f>
        <v>47</v>
      </c>
      <c r="C70" s="195" t="s">
        <v>115</v>
      </c>
      <c r="D70" s="133"/>
      <c r="E70" s="134"/>
      <c r="F70" s="40">
        <f>I70+M70+O70+Q70+S70</f>
        <v>1599</v>
      </c>
      <c r="G70" s="36">
        <f>F68</f>
        <v>6715</v>
      </c>
      <c r="H70" s="205">
        <v>9</v>
      </c>
      <c r="I70" s="47">
        <f>IF(AND(H70&gt;6.8,H70&lt;12.8),IF($B$5=1,ROUNDDOWN(46.0849*(12.76-H70)^1.81,0),ROUNDDOWN(46.0849*(13-H70)^1.81,)),0)</f>
        <v>506</v>
      </c>
      <c r="J70" s="87">
        <v>2</v>
      </c>
      <c r="K70" s="30" t="s">
        <v>24</v>
      </c>
      <c r="L70" s="143">
        <v>25.7</v>
      </c>
      <c r="M70" s="59">
        <f>V70</f>
        <v>197</v>
      </c>
      <c r="N70" s="95">
        <v>135</v>
      </c>
      <c r="O70" s="47">
        <f>IF(AND(N70&gt;75),ROUNDDOWN(1.84523*(N70-75)^1.348,0),0)</f>
        <v>460</v>
      </c>
      <c r="P70" s="95"/>
      <c r="Q70" s="47">
        <f>IF(AND(P70&gt;210),ROUNDDOWN(0.188807*(P70-210)^1.41,0),0)</f>
        <v>0</v>
      </c>
      <c r="R70" s="99">
        <v>46.5</v>
      </c>
      <c r="S70" s="55">
        <f>IF(AND(R70&gt;7.95),ROUNDDOWN(7.86*(R70-7.95)^1.1,0),0)</f>
        <v>436</v>
      </c>
      <c r="U70" s="24">
        <f>J70*60+L70</f>
        <v>145.7</v>
      </c>
      <c r="V70" s="25">
        <f>IF(U70&gt;0,(INT(POWER(185-U70,1.88)*0.19889)),0)</f>
        <v>197</v>
      </c>
    </row>
    <row r="71" spans="1:22" ht="13.5" thickBot="1">
      <c r="A71" s="135"/>
      <c r="B71" s="191">
        <f>Jednotlivci!L54</f>
        <v>48</v>
      </c>
      <c r="C71" s="195" t="s">
        <v>94</v>
      </c>
      <c r="D71" s="133"/>
      <c r="E71" s="134"/>
      <c r="F71" s="40">
        <f>I71+M71+O71+Q71+S71</f>
        <v>1918</v>
      </c>
      <c r="G71" s="36">
        <f>F68</f>
        <v>6715</v>
      </c>
      <c r="H71" s="205">
        <v>8.3</v>
      </c>
      <c r="I71" s="47">
        <f>IF(AND(H71&gt;6.8,H71&lt;12.8),IF($B$5=1,ROUNDDOWN(46.0849*(12.76-H71)^1.81,0),ROUNDDOWN(46.0849*(13-H71)^1.81,)),0)</f>
        <v>690</v>
      </c>
      <c r="J71" s="88">
        <v>1</v>
      </c>
      <c r="K71" s="20" t="s">
        <v>24</v>
      </c>
      <c r="L71" s="144">
        <v>55.95</v>
      </c>
      <c r="M71" s="59">
        <f>V71</f>
        <v>570</v>
      </c>
      <c r="N71" s="95"/>
      <c r="O71" s="47">
        <f>IF(AND(N71&gt;75),ROUNDDOWN(1.84523*(N71-75)^1.348,0),0)</f>
        <v>0</v>
      </c>
      <c r="P71" s="95">
        <v>436</v>
      </c>
      <c r="Q71" s="47">
        <f>IF(AND(P71&gt;210),ROUNDDOWN(0.188807*(P71-210)^1.41,0),0)</f>
        <v>393</v>
      </c>
      <c r="R71" s="99">
        <v>32.5</v>
      </c>
      <c r="S71" s="55">
        <f>IF(AND(R71&gt;7.95),ROUNDDOWN(7.86*(R71-7.95)^1.1,0),0)</f>
        <v>265</v>
      </c>
      <c r="U71" s="24">
        <f>J71*60+L71</f>
        <v>115.95</v>
      </c>
      <c r="V71" s="25">
        <f>IF(U71&gt;0,(INT(POWER(185-U71,1.88)*0.19889)),0)</f>
        <v>570</v>
      </c>
    </row>
    <row r="72" spans="1:22" ht="13.5" thickBot="1">
      <c r="A72" s="135"/>
      <c r="B72" s="191">
        <f>Jednotlivci!L55</f>
        <v>49</v>
      </c>
      <c r="C72" s="195" t="s">
        <v>114</v>
      </c>
      <c r="D72" s="133"/>
      <c r="E72" s="134"/>
      <c r="F72" s="40">
        <f>I72+M72+O72+Q72+S72</f>
        <v>1428</v>
      </c>
      <c r="G72" s="36">
        <f>F68</f>
        <v>6715</v>
      </c>
      <c r="H72" s="205">
        <v>9.2</v>
      </c>
      <c r="I72" s="47">
        <f>IF(AND(H72&gt;6.8,H72&lt;12.8),IF($B$5=1,ROUNDDOWN(46.0849*(12.76-H72)^1.81,0),ROUNDDOWN(46.0849*(13-H72)^1.81,)),0)</f>
        <v>458</v>
      </c>
      <c r="J72" s="87">
        <v>2</v>
      </c>
      <c r="K72" s="30" t="s">
        <v>24</v>
      </c>
      <c r="L72" s="143">
        <v>9.09</v>
      </c>
      <c r="M72" s="59">
        <f>V72</f>
        <v>383</v>
      </c>
      <c r="N72" s="95"/>
      <c r="O72" s="47">
        <f>IF(AND(N72&gt;75),ROUNDDOWN(1.84523*(N72-75)^1.348,0),0)</f>
        <v>0</v>
      </c>
      <c r="P72" s="95">
        <v>401</v>
      </c>
      <c r="Q72" s="47">
        <f>IF(AND(P72&gt;210),ROUNDDOWN(0.188807*(P72-210)^1.41,0),0)</f>
        <v>310</v>
      </c>
      <c r="R72" s="99">
        <v>33.5</v>
      </c>
      <c r="S72" s="55">
        <f>IF(AND(R72&gt;7.95),ROUNDDOWN(7.86*(R72-7.95)^1.1,0),0)</f>
        <v>277</v>
      </c>
      <c r="U72" s="24">
        <f>J72*60+L72</f>
        <v>129.09</v>
      </c>
      <c r="V72" s="25">
        <f>IF(U72&gt;0,(INT(POWER(185-U72,1.88)*0.19889)),0)</f>
        <v>383</v>
      </c>
    </row>
    <row r="73" spans="1:22" ht="13.5" thickBot="1">
      <c r="A73" s="136"/>
      <c r="B73" s="193">
        <f>Jednotlivci!L56</f>
        <v>50</v>
      </c>
      <c r="C73" s="152" t="s">
        <v>93</v>
      </c>
      <c r="D73" s="16"/>
      <c r="E73" s="137"/>
      <c r="F73" s="41">
        <f>I73+M73+O73+Q73+S73</f>
        <v>1712</v>
      </c>
      <c r="G73" s="36">
        <f>F68</f>
        <v>6715</v>
      </c>
      <c r="H73" s="202">
        <v>8.7</v>
      </c>
      <c r="I73" s="48">
        <f>IF(AND(H73&gt;6.8,H73&lt;12.8),IF($B$5=1,ROUNDDOWN(46.0849*(12.76-H73)^1.81,0),ROUNDDOWN(46.0849*(13-H73)^1.81,)),0)</f>
        <v>582</v>
      </c>
      <c r="J73" s="89">
        <v>1</v>
      </c>
      <c r="K73" s="31" t="s">
        <v>24</v>
      </c>
      <c r="L73" s="145">
        <v>56.51</v>
      </c>
      <c r="M73" s="60">
        <f>V73</f>
        <v>561</v>
      </c>
      <c r="N73" s="96"/>
      <c r="O73" s="48">
        <f>IF(AND(N73&gt;75),ROUNDDOWN(1.84523*(N73-75)^1.348,0),0)</f>
        <v>0</v>
      </c>
      <c r="P73" s="96">
        <v>428</v>
      </c>
      <c r="Q73" s="48">
        <f>IF(AND(P73&gt;210),ROUNDDOWN(0.188807*(P73-210)^1.41,0),0)</f>
        <v>374</v>
      </c>
      <c r="R73" s="100">
        <v>26.5</v>
      </c>
      <c r="S73" s="56">
        <f>IF(AND(R73&gt;7.95),ROUNDDOWN(7.86*(R73-7.95)^1.1,0),0)</f>
        <v>195</v>
      </c>
      <c r="U73" s="24">
        <f>J73*60+L73</f>
        <v>116.50999999999999</v>
      </c>
      <c r="V73" s="25">
        <f>IF(U73&gt;0,(INT(POWER(185-U73,1.88)*0.19889)),0)</f>
        <v>561</v>
      </c>
    </row>
    <row r="74" spans="6:18" ht="13.5" thickBot="1">
      <c r="F74" s="17"/>
      <c r="G74" s="36">
        <f>F68</f>
        <v>6715</v>
      </c>
      <c r="H74" s="203"/>
      <c r="L74" s="148"/>
      <c r="R74" s="111"/>
    </row>
    <row r="75" spans="1:19" ht="13.5" thickBot="1">
      <c r="A75" s="184">
        <f>Družstva!A19</f>
        <v>11</v>
      </c>
      <c r="B75" s="183">
        <f>$B$5</f>
        <v>1</v>
      </c>
      <c r="C75" s="185" t="s">
        <v>95</v>
      </c>
      <c r="D75" s="186"/>
      <c r="E75" s="187" t="s">
        <v>32</v>
      </c>
      <c r="F75" s="44">
        <f>SUM(F76:F80)-MIN(F76:F80)</f>
        <v>5699</v>
      </c>
      <c r="G75" s="37">
        <f>F75</f>
        <v>5699</v>
      </c>
      <c r="H75" s="204"/>
      <c r="I75" s="81"/>
      <c r="J75" s="82"/>
      <c r="K75" s="83"/>
      <c r="L75" s="147"/>
      <c r="M75" s="84"/>
      <c r="N75" s="78"/>
      <c r="O75" s="81"/>
      <c r="P75" s="78"/>
      <c r="Q75" s="81"/>
      <c r="R75" s="79"/>
      <c r="S75" s="85"/>
    </row>
    <row r="76" spans="1:22" ht="13.5" thickBot="1">
      <c r="A76" s="138"/>
      <c r="B76" s="192">
        <f>Jednotlivci!L57</f>
        <v>51</v>
      </c>
      <c r="C76" s="194" t="s">
        <v>96</v>
      </c>
      <c r="D76" s="140"/>
      <c r="E76" s="141"/>
      <c r="F76" s="39">
        <f>I76+M76+O76+Q76+S76</f>
        <v>1666</v>
      </c>
      <c r="G76" s="36">
        <f>F75</f>
        <v>5699</v>
      </c>
      <c r="H76" s="126">
        <v>9</v>
      </c>
      <c r="I76" s="45">
        <f>IF(AND(H76&gt;6.8,H76&lt;12.8),IF($B$5=1,ROUNDDOWN(46.0849*(12.76-H76)^1.81,0),ROUNDDOWN(46.0849*(13-H76)^1.81,)),0)</f>
        <v>506</v>
      </c>
      <c r="J76" s="86">
        <v>2</v>
      </c>
      <c r="K76" s="32" t="s">
        <v>24</v>
      </c>
      <c r="L76" s="142">
        <v>9.09</v>
      </c>
      <c r="M76" s="57">
        <f>V76</f>
        <v>383</v>
      </c>
      <c r="N76" s="97">
        <v>130</v>
      </c>
      <c r="O76" s="45">
        <f>IF(AND(N76&gt;75),ROUNDDOWN(1.84523*(N76-75)^1.348,0),0)</f>
        <v>409</v>
      </c>
      <c r="P76" s="94"/>
      <c r="Q76" s="45">
        <f>IF(AND(P76&gt;210),ROUNDDOWN(0.188807*(P76-210)^1.41,0),0)</f>
        <v>0</v>
      </c>
      <c r="R76" s="101">
        <v>41</v>
      </c>
      <c r="S76" s="53">
        <f>IF(AND(R76&gt;7.95),ROUNDDOWN(7.86*(R76-7.95)^1.1,0),0)</f>
        <v>368</v>
      </c>
      <c r="U76" s="24">
        <f>J76*60+L76</f>
        <v>129.09</v>
      </c>
      <c r="V76" s="25">
        <f>IF(U76&gt;0,(INT(POWER(185-U76,1.88)*0.19889)),0)</f>
        <v>383</v>
      </c>
    </row>
    <row r="77" spans="1:22" ht="13.5" thickBot="1">
      <c r="A77" s="135"/>
      <c r="B77" s="191">
        <f>Jednotlivci!L58</f>
        <v>52</v>
      </c>
      <c r="C77" s="195" t="s">
        <v>98</v>
      </c>
      <c r="D77" s="133"/>
      <c r="E77" s="134"/>
      <c r="F77" s="40">
        <f>I77+M77+O77+Q77+S77</f>
        <v>1438</v>
      </c>
      <c r="G77" s="36">
        <f>F75</f>
        <v>5699</v>
      </c>
      <c r="H77" s="205">
        <v>9.3</v>
      </c>
      <c r="I77" s="47">
        <f>IF(AND(H77&gt;6.8,H77&lt;12.8),IF($B$5=1,ROUNDDOWN(46.0849*(12.76-H77)^1.81,0),ROUNDDOWN(46.0849*(13-H77)^1.81,)),0)</f>
        <v>435</v>
      </c>
      <c r="J77" s="87">
        <v>2</v>
      </c>
      <c r="K77" s="30" t="s">
        <v>24</v>
      </c>
      <c r="L77" s="143">
        <v>13.8</v>
      </c>
      <c r="M77" s="59">
        <f>V77</f>
        <v>325</v>
      </c>
      <c r="N77" s="95">
        <v>125</v>
      </c>
      <c r="O77" s="47">
        <f>IF(AND(N77&gt;75),ROUNDDOWN(1.84523*(N77-75)^1.348,0),0)</f>
        <v>359</v>
      </c>
      <c r="P77" s="95"/>
      <c r="Q77" s="47">
        <f>IF(AND(P77&gt;210),ROUNDDOWN(0.188807*(P77-210)^1.41,0),0)</f>
        <v>0</v>
      </c>
      <c r="R77" s="99">
        <v>37</v>
      </c>
      <c r="S77" s="55">
        <f>IF(AND(R77&gt;7.95),ROUNDDOWN(7.86*(R77-7.95)^1.1,0),0)</f>
        <v>319</v>
      </c>
      <c r="U77" s="24">
        <f>J77*60+L77</f>
        <v>133.8</v>
      </c>
      <c r="V77" s="25">
        <f>IF(U77&gt;0,(INT(POWER(185-U77,1.88)*0.19889)),0)</f>
        <v>325</v>
      </c>
    </row>
    <row r="78" spans="1:22" ht="13.5" thickBot="1">
      <c r="A78" s="135"/>
      <c r="B78" s="191">
        <f>Jednotlivci!L59</f>
        <v>53</v>
      </c>
      <c r="C78" s="195" t="s">
        <v>97</v>
      </c>
      <c r="D78" s="133"/>
      <c r="E78" s="134"/>
      <c r="F78" s="40">
        <f>I78+M78+O78+Q78+S78</f>
        <v>1043</v>
      </c>
      <c r="G78" s="36">
        <f>F75</f>
        <v>5699</v>
      </c>
      <c r="H78" s="205">
        <v>9.5</v>
      </c>
      <c r="I78" s="47">
        <f>IF(AND(H78&gt;6.8,H78&lt;12.8),IF($B$5=1,ROUNDDOWN(46.0849*(12.76-H78)^1.81,0),ROUNDDOWN(46.0849*(13-H78)^1.81,)),0)</f>
        <v>391</v>
      </c>
      <c r="J78" s="88">
        <v>2</v>
      </c>
      <c r="K78" s="20" t="s">
        <v>24</v>
      </c>
      <c r="L78" s="144">
        <v>13.11</v>
      </c>
      <c r="M78" s="59">
        <f>V78</f>
        <v>333</v>
      </c>
      <c r="N78" s="95"/>
      <c r="O78" s="47">
        <f>IF(AND(N78&gt;75),ROUNDDOWN(1.84523*(N78-75)^1.348,0),0)</f>
        <v>0</v>
      </c>
      <c r="P78" s="95">
        <v>349</v>
      </c>
      <c r="Q78" s="47">
        <f>IF(AND(P78&gt;210),ROUNDDOWN(0.188807*(P78-210)^1.41,0),0)</f>
        <v>198</v>
      </c>
      <c r="R78" s="99">
        <v>20</v>
      </c>
      <c r="S78" s="55">
        <f>IF(AND(R78&gt;7.95),ROUNDDOWN(7.86*(R78-7.95)^1.1,0),0)</f>
        <v>121</v>
      </c>
      <c r="U78" s="24">
        <f>J78*60+L78</f>
        <v>133.11</v>
      </c>
      <c r="V78" s="25">
        <f>IF(U78&gt;0,(INT(POWER(185-U78,1.88)*0.19889)),0)</f>
        <v>333</v>
      </c>
    </row>
    <row r="79" spans="1:23" ht="13.5" thickBot="1">
      <c r="A79" s="135"/>
      <c r="B79" s="191">
        <f>Jednotlivci!L60</f>
        <v>54</v>
      </c>
      <c r="C79" s="195" t="s">
        <v>113</v>
      </c>
      <c r="D79" s="133"/>
      <c r="E79" s="134"/>
      <c r="F79" s="40">
        <f>I79+M79+O79+Q79+S79</f>
        <v>1126</v>
      </c>
      <c r="G79" s="36">
        <f>F75</f>
        <v>5699</v>
      </c>
      <c r="H79" s="205">
        <v>9.3</v>
      </c>
      <c r="I79" s="47">
        <f>IF(AND(H79&gt;6.8,H79&lt;12.8),IF($B$5=1,ROUNDDOWN(46.0849*(12.76-H79)^1.81,0),ROUNDDOWN(46.0849*(13-H79)^1.81,)),0)</f>
        <v>435</v>
      </c>
      <c r="J79" s="87">
        <v>2</v>
      </c>
      <c r="K79" s="30" t="s">
        <v>24</v>
      </c>
      <c r="L79" s="143">
        <v>12.42</v>
      </c>
      <c r="M79" s="59">
        <f>V79</f>
        <v>341</v>
      </c>
      <c r="N79" s="95"/>
      <c r="O79" s="47">
        <f>IF(AND(N79&gt;75),ROUNDDOWN(1.84523*(N79-75)^1.348,0),0)</f>
        <v>0</v>
      </c>
      <c r="P79" s="95">
        <v>330</v>
      </c>
      <c r="Q79" s="47">
        <f>IF(AND(P79&gt;210),ROUNDDOWN(0.188807*(P79-210)^1.41,0),0)</f>
        <v>161</v>
      </c>
      <c r="R79" s="99">
        <v>26</v>
      </c>
      <c r="S79" s="55">
        <f>IF(AND(R79&gt;7.95),ROUNDDOWN(7.86*(R79-7.95)^1.1,0),0)</f>
        <v>189</v>
      </c>
      <c r="U79" s="24">
        <f>J79*60+L79</f>
        <v>132.42</v>
      </c>
      <c r="V79" s="153">
        <f>IF(U79&gt;0,(INT(POWER(185-U79,1.88)*0.19889)),0)</f>
        <v>341</v>
      </c>
      <c r="W79" s="154"/>
    </row>
    <row r="80" spans="1:22" ht="13.5" thickBot="1">
      <c r="A80" s="136"/>
      <c r="B80" s="193">
        <f>Jednotlivci!L61</f>
        <v>55</v>
      </c>
      <c r="C80" s="152" t="s">
        <v>99</v>
      </c>
      <c r="D80" s="16"/>
      <c r="E80" s="137"/>
      <c r="F80" s="41">
        <f>I80+M80+O80+Q80+S80</f>
        <v>1469</v>
      </c>
      <c r="G80" s="36">
        <f>F75</f>
        <v>5699</v>
      </c>
      <c r="H80" s="202">
        <v>8.9</v>
      </c>
      <c r="I80" s="48">
        <f>IF(AND(H80&gt;6.8,H80&lt;12.8),IF($B$5=1,ROUNDDOWN(46.0849*(12.76-H80)^1.81,0),ROUNDDOWN(46.0849*(13-H80)^1.81,)),0)</f>
        <v>531</v>
      </c>
      <c r="J80" s="89">
        <v>2</v>
      </c>
      <c r="K80" s="31" t="s">
        <v>24</v>
      </c>
      <c r="L80" s="145">
        <v>4.95</v>
      </c>
      <c r="M80" s="60">
        <f>V80</f>
        <v>438</v>
      </c>
      <c r="N80" s="96"/>
      <c r="O80" s="48">
        <f>IF(AND(N80&gt;75),ROUNDDOWN(1.84523*(N80-75)^1.348,0),0)</f>
        <v>0</v>
      </c>
      <c r="P80" s="96">
        <v>396</v>
      </c>
      <c r="Q80" s="48">
        <f>IF(AND(P80&gt;210),ROUNDDOWN(0.188807*(P80-210)^1.41,0),0)</f>
        <v>299</v>
      </c>
      <c r="R80" s="100">
        <v>27</v>
      </c>
      <c r="S80" s="56">
        <f>IF(AND(R80&gt;7.95),ROUNDDOWN(7.86*(R80-7.95)^1.1,0),0)</f>
        <v>201</v>
      </c>
      <c r="U80" s="24">
        <f>J80*60+L80</f>
        <v>124.95</v>
      </c>
      <c r="V80" s="25">
        <f>IF(U80&gt;0,(INT(POWER(185-U80,1.88)*0.19889)),0)</f>
        <v>438</v>
      </c>
    </row>
    <row r="81" spans="8:18" ht="13.5" thickBot="1">
      <c r="H81" s="203"/>
      <c r="L81" s="148"/>
      <c r="R81" s="111"/>
    </row>
    <row r="82" spans="1:19" ht="13.5" thickBot="1">
      <c r="A82" s="7">
        <f>Družstva!A20</f>
        <v>12</v>
      </c>
      <c r="B82" s="33">
        <f>$B$5</f>
        <v>1</v>
      </c>
      <c r="C82" s="8" t="s">
        <v>100</v>
      </c>
      <c r="D82" s="9"/>
      <c r="E82" s="10" t="s">
        <v>32</v>
      </c>
      <c r="F82" s="44">
        <f>SUM(F83:F87)-MIN(F83:F87)</f>
        <v>4510</v>
      </c>
      <c r="G82" s="37">
        <f>F82</f>
        <v>4510</v>
      </c>
      <c r="H82" s="204"/>
      <c r="I82" s="81"/>
      <c r="J82" s="82"/>
      <c r="K82" s="83"/>
      <c r="L82" s="147"/>
      <c r="M82" s="84"/>
      <c r="N82" s="78"/>
      <c r="O82" s="81"/>
      <c r="P82" s="78"/>
      <c r="Q82" s="81"/>
      <c r="R82" s="79"/>
      <c r="S82" s="85"/>
    </row>
    <row r="83" spans="1:22" ht="13.5" thickBot="1">
      <c r="A83" s="138"/>
      <c r="B83" s="139">
        <f>Jednotlivci!L62</f>
        <v>56</v>
      </c>
      <c r="C83" s="197" t="s">
        <v>101</v>
      </c>
      <c r="D83" s="140"/>
      <c r="E83" s="141"/>
      <c r="F83" s="39">
        <f>I83+M83+O83+Q83+S83</f>
        <v>1118</v>
      </c>
      <c r="G83" s="36">
        <f>F82</f>
        <v>4510</v>
      </c>
      <c r="H83" s="126">
        <v>9.2</v>
      </c>
      <c r="I83" s="45">
        <f>IF(AND(H83&gt;6.8,H83&lt;12.8),IF($B$5=1,ROUNDDOWN(46.0849*(12.76-H83)^1.81,0),ROUNDDOWN(46.0849*(13-H83)^1.81,)),0)</f>
        <v>458</v>
      </c>
      <c r="J83" s="86">
        <v>2</v>
      </c>
      <c r="K83" s="32" t="s">
        <v>24</v>
      </c>
      <c r="L83" s="142">
        <v>36.7</v>
      </c>
      <c r="M83" s="57">
        <f>V83</f>
        <v>106</v>
      </c>
      <c r="N83" s="97">
        <v>125</v>
      </c>
      <c r="O83" s="45">
        <f>IF(AND(N83&gt;75),ROUNDDOWN(1.84523*(N83-75)^1.348,0),0)</f>
        <v>359</v>
      </c>
      <c r="P83" s="94"/>
      <c r="Q83" s="45">
        <f>IF(AND(P83&gt;210),ROUNDDOWN(0.188807*(P83-210)^1.41,0),0)</f>
        <v>0</v>
      </c>
      <c r="R83" s="101">
        <v>26.5</v>
      </c>
      <c r="S83" s="53">
        <f>IF(AND(R83&gt;7.95),ROUNDDOWN(7.86*(R83-7.95)^1.1,0),0)</f>
        <v>195</v>
      </c>
      <c r="U83" s="24">
        <f>J83*60+L83</f>
        <v>156.7</v>
      </c>
      <c r="V83" s="25">
        <f>IF(U83&gt;0,(INT(POWER(185-U83,1.88)*0.19889)),0)</f>
        <v>106</v>
      </c>
    </row>
    <row r="84" spans="1:22" ht="13.5" thickBot="1">
      <c r="A84" s="135"/>
      <c r="B84" s="11">
        <f>Jednotlivci!L63</f>
        <v>57</v>
      </c>
      <c r="C84" s="198" t="s">
        <v>102</v>
      </c>
      <c r="D84" s="133"/>
      <c r="E84" s="134"/>
      <c r="F84" s="40">
        <f>I84+M84+O84+Q84+S84</f>
        <v>1111</v>
      </c>
      <c r="G84" s="36">
        <f>F82</f>
        <v>4510</v>
      </c>
      <c r="H84" s="205">
        <v>9.2</v>
      </c>
      <c r="I84" s="47">
        <f>IF(AND(H84&gt;6.8,H84&lt;12.8),IF($B$5=1,ROUNDDOWN(46.0849*(12.76-H84)^1.81,0),ROUNDDOWN(46.0849*(13-H84)^1.81,)),0)</f>
        <v>458</v>
      </c>
      <c r="J84" s="87">
        <v>2</v>
      </c>
      <c r="K84" s="30" t="s">
        <v>24</v>
      </c>
      <c r="L84" s="143">
        <v>12.01</v>
      </c>
      <c r="M84" s="59">
        <f>V84</f>
        <v>346</v>
      </c>
      <c r="N84" s="95">
        <v>105</v>
      </c>
      <c r="O84" s="47">
        <f>IF(AND(N84&gt;75),ROUNDDOWN(1.84523*(N84-75)^1.348,0),0)</f>
        <v>180</v>
      </c>
      <c r="P84" s="95"/>
      <c r="Q84" s="47">
        <f>IF(AND(P84&gt;210),ROUNDDOWN(0.188807*(P84-210)^1.41,0),0)</f>
        <v>0</v>
      </c>
      <c r="R84" s="99">
        <v>20.5</v>
      </c>
      <c r="S84" s="55">
        <f>IF(AND(R84&gt;7.95),ROUNDDOWN(7.86*(R84-7.95)^1.1,0),0)</f>
        <v>127</v>
      </c>
      <c r="U84" s="24">
        <f>J84*60+L84</f>
        <v>132.01</v>
      </c>
      <c r="V84" s="25">
        <f>IF(U84&gt;0,(INT(POWER(185-U84,1.88)*0.19889)),0)</f>
        <v>346</v>
      </c>
    </row>
    <row r="85" spans="1:22" ht="13.5" thickBot="1">
      <c r="A85" s="135"/>
      <c r="B85" s="11">
        <f>Jednotlivci!L64</f>
        <v>58</v>
      </c>
      <c r="C85" s="198" t="s">
        <v>103</v>
      </c>
      <c r="D85" s="133"/>
      <c r="E85" s="134"/>
      <c r="F85" s="40">
        <f>I85+M85+O85+Q85+S85</f>
        <v>905</v>
      </c>
      <c r="G85" s="36">
        <f>F82</f>
        <v>4510</v>
      </c>
      <c r="H85" s="205">
        <v>9.9</v>
      </c>
      <c r="I85" s="47">
        <f>IF(AND(H85&gt;6.8,H85&lt;12.8),IF($B$5=1,ROUNDDOWN(46.0849*(12.76-H85)^1.81,0),ROUNDDOWN(46.0849*(13-H85)^1.81,)),0)</f>
        <v>308</v>
      </c>
      <c r="J85" s="88">
        <v>2</v>
      </c>
      <c r="K85" s="20" t="s">
        <v>24</v>
      </c>
      <c r="L85" s="144">
        <v>32.48</v>
      </c>
      <c r="M85" s="59">
        <f>V85</f>
        <v>138</v>
      </c>
      <c r="N85" s="95"/>
      <c r="O85" s="47">
        <f>IF(AND(N85&gt;75),ROUNDDOWN(1.84523*(N85-75)^1.348,0),0)</f>
        <v>0</v>
      </c>
      <c r="P85" s="95">
        <v>341</v>
      </c>
      <c r="Q85" s="47">
        <f>IF(AND(P85&gt;210),ROUNDDOWN(0.188807*(P85-210)^1.41,0),0)</f>
        <v>182</v>
      </c>
      <c r="R85" s="99">
        <v>33.5</v>
      </c>
      <c r="S85" s="55">
        <f>IF(AND(R85&gt;7.95),ROUNDDOWN(7.86*(R85-7.95)^1.1,0),0)</f>
        <v>277</v>
      </c>
      <c r="U85" s="24">
        <f>J85*60+L85</f>
        <v>152.48</v>
      </c>
      <c r="V85" s="25">
        <f>IF(U85&gt;0,(INT(POWER(185-U85,1.88)*0.19889)),0)</f>
        <v>138</v>
      </c>
    </row>
    <row r="86" spans="1:22" ht="13.5" thickBot="1">
      <c r="A86" s="135"/>
      <c r="B86" s="11">
        <f>Jednotlivci!L65</f>
        <v>59</v>
      </c>
      <c r="C86" s="198" t="s">
        <v>104</v>
      </c>
      <c r="D86" s="133"/>
      <c r="E86" s="134"/>
      <c r="F86" s="40">
        <f>I86+M86+O86+Q86+S86</f>
        <v>1127</v>
      </c>
      <c r="G86" s="36">
        <f>F82</f>
        <v>4510</v>
      </c>
      <c r="H86" s="205">
        <v>9.4</v>
      </c>
      <c r="I86" s="47">
        <f>IF(AND(H86&gt;6.8,H86&lt;12.8),IF($B$5=1,ROUNDDOWN(46.0849*(12.76-H86)^1.81,0),ROUNDDOWN(46.0849*(13-H86)^1.81,)),0)</f>
        <v>413</v>
      </c>
      <c r="J86" s="87">
        <v>2</v>
      </c>
      <c r="K86" s="30" t="s">
        <v>24</v>
      </c>
      <c r="L86" s="143">
        <v>9.39</v>
      </c>
      <c r="M86" s="59">
        <f>V86</f>
        <v>379</v>
      </c>
      <c r="N86" s="95"/>
      <c r="O86" s="47">
        <f>IF(AND(N86&gt;75),ROUNDDOWN(1.84523*(N86-75)^1.348,0),0)</f>
        <v>0</v>
      </c>
      <c r="P86" s="95">
        <v>362</v>
      </c>
      <c r="Q86" s="47">
        <f>IF(AND(P86&gt;210),ROUNDDOWN(0.188807*(P86-210)^1.41,0),0)</f>
        <v>225</v>
      </c>
      <c r="R86" s="99">
        <v>19</v>
      </c>
      <c r="S86" s="55">
        <f>IF(AND(R86&gt;7.95),ROUNDDOWN(7.86*(R86-7.95)^1.1,0),0)</f>
        <v>110</v>
      </c>
      <c r="U86" s="24">
        <f>J86*60+L86</f>
        <v>129.39</v>
      </c>
      <c r="V86" s="25">
        <f>IF(U86&gt;0,(INT(POWER(185-U86,1.88)*0.19889)),0)</f>
        <v>379</v>
      </c>
    </row>
    <row r="87" spans="1:22" ht="13.5" thickBot="1">
      <c r="A87" s="136"/>
      <c r="B87" s="14">
        <f>Jednotlivci!L66</f>
        <v>60</v>
      </c>
      <c r="C87" s="199" t="s">
        <v>105</v>
      </c>
      <c r="D87" s="16"/>
      <c r="E87" s="137"/>
      <c r="F87" s="41">
        <f>I87+M87+O87+Q87+S87</f>
        <v>1154</v>
      </c>
      <c r="G87" s="36">
        <f>F82</f>
        <v>4510</v>
      </c>
      <c r="H87" s="202">
        <v>9.1</v>
      </c>
      <c r="I87" s="48">
        <f>IF(AND(H87&gt;6.8,H87&lt;12.8),IF($B$5=1,ROUNDDOWN(46.0849*(12.76-H87)^1.81,0),ROUNDDOWN(46.0849*(13-H87)^1.81,)),0)</f>
        <v>482</v>
      </c>
      <c r="J87" s="89">
        <v>2</v>
      </c>
      <c r="K87" s="31" t="s">
        <v>24</v>
      </c>
      <c r="L87" s="145">
        <v>10.45</v>
      </c>
      <c r="M87" s="60">
        <f>V87</f>
        <v>366</v>
      </c>
      <c r="N87" s="96"/>
      <c r="O87" s="48">
        <f>IF(AND(N87&gt;75),ROUNDDOWN(1.84523*(N87-75)^1.348,0),0)</f>
        <v>0</v>
      </c>
      <c r="P87" s="96">
        <v>356</v>
      </c>
      <c r="Q87" s="48">
        <f>IF(AND(P87&gt;210),ROUNDDOWN(0.188807*(P87-210)^1.41,0),0)</f>
        <v>212</v>
      </c>
      <c r="R87" s="100">
        <v>17.5</v>
      </c>
      <c r="S87" s="56">
        <f>IF(AND(R87&gt;7.95),ROUNDDOWN(7.86*(R87-7.95)^1.1,0),0)</f>
        <v>94</v>
      </c>
      <c r="U87" s="24">
        <f>J87*60+L87</f>
        <v>130.45</v>
      </c>
      <c r="V87" s="25">
        <f>IF(U87&gt;0,(INT(POWER(185-U87,1.88)*0.19889)),0)</f>
        <v>366</v>
      </c>
    </row>
    <row r="88" ht="13.5" thickBot="1">
      <c r="H88" s="203"/>
    </row>
    <row r="89" spans="1:19" ht="13.5" thickBot="1">
      <c r="A89" s="184">
        <f>Družstva!A21</f>
        <v>13</v>
      </c>
      <c r="B89" s="183">
        <f>$B$5</f>
        <v>1</v>
      </c>
      <c r="C89" s="185" t="s">
        <v>106</v>
      </c>
      <c r="D89" s="186"/>
      <c r="E89" s="187" t="s">
        <v>32</v>
      </c>
      <c r="F89" s="44">
        <f>SUM(F90:F94)-MIN(F90:F94)</f>
        <v>4931</v>
      </c>
      <c r="G89" s="37">
        <f>F89</f>
        <v>4931</v>
      </c>
      <c r="H89" s="204"/>
      <c r="I89" s="81"/>
      <c r="J89" s="82"/>
      <c r="K89" s="83"/>
      <c r="L89" s="147"/>
      <c r="M89" s="84"/>
      <c r="N89" s="78"/>
      <c r="O89" s="81"/>
      <c r="P89" s="78"/>
      <c r="Q89" s="81"/>
      <c r="R89" s="79"/>
      <c r="S89" s="85"/>
    </row>
    <row r="90" spans="1:22" ht="13.5" thickBot="1">
      <c r="A90" s="138"/>
      <c r="B90" s="139">
        <f>Jednotlivci!L67</f>
        <v>61</v>
      </c>
      <c r="C90" s="197" t="s">
        <v>110</v>
      </c>
      <c r="D90" s="140"/>
      <c r="E90" s="141"/>
      <c r="F90" s="39">
        <f>I90+M90+O90+Q90+S90</f>
        <v>1542</v>
      </c>
      <c r="G90" s="36">
        <f>F89</f>
        <v>4931</v>
      </c>
      <c r="H90" s="126">
        <v>8.6</v>
      </c>
      <c r="I90" s="45">
        <f>IF(AND(H90&gt;6.8,H90&lt;12.8),IF($B$5=1,ROUNDDOWN(46.0849*(12.76-H90)^1.81,0),ROUNDDOWN(46.0849*(13-H90)^1.81,)),0)</f>
        <v>608</v>
      </c>
      <c r="J90" s="86">
        <v>2</v>
      </c>
      <c r="K90" s="32" t="s">
        <v>24</v>
      </c>
      <c r="L90" s="142">
        <v>3.8</v>
      </c>
      <c r="M90" s="57">
        <f>V90</f>
        <v>454</v>
      </c>
      <c r="N90" s="97">
        <v>125</v>
      </c>
      <c r="O90" s="45">
        <f>IF(AND(N90&gt;75),ROUNDDOWN(1.84523*(N90-75)^1.348,0),0)</f>
        <v>359</v>
      </c>
      <c r="P90" s="94"/>
      <c r="Q90" s="45">
        <f>IF(AND(P90&gt;210),ROUNDDOWN(0.188807*(P90-210)^1.41,0),0)</f>
        <v>0</v>
      </c>
      <c r="R90" s="101">
        <v>20</v>
      </c>
      <c r="S90" s="53">
        <f>IF(AND(R90&gt;7.95),ROUNDDOWN(7.86*(R90-7.95)^1.1,0),0)</f>
        <v>121</v>
      </c>
      <c r="U90" s="24">
        <f>J90*60+L90</f>
        <v>123.8</v>
      </c>
      <c r="V90" s="25">
        <f>IF(U90&gt;0,(INT(POWER(185-U90,1.88)*0.19889)),0)</f>
        <v>454</v>
      </c>
    </row>
    <row r="91" spans="1:22" ht="13.5" thickBot="1">
      <c r="A91" s="135"/>
      <c r="B91" s="11">
        <f>Jednotlivci!L68</f>
        <v>62</v>
      </c>
      <c r="C91" s="198" t="s">
        <v>108</v>
      </c>
      <c r="D91" s="133"/>
      <c r="E91" s="134"/>
      <c r="F91" s="40">
        <f>I91+M91+O91+Q91+S91</f>
        <v>922</v>
      </c>
      <c r="G91" s="36">
        <f>F89</f>
        <v>4931</v>
      </c>
      <c r="H91" s="205">
        <v>9.5</v>
      </c>
      <c r="I91" s="47">
        <f>IF(AND(H91&gt;6.8,H91&lt;12.8),IF($B$5=1,ROUNDDOWN(46.0849*(12.76-H91)^1.81,0),ROUNDDOWN(46.0849*(13-H91)^1.81,)),0)</f>
        <v>391</v>
      </c>
      <c r="J91" s="87">
        <v>2</v>
      </c>
      <c r="K91" s="30" t="s">
        <v>24</v>
      </c>
      <c r="L91" s="143">
        <v>26.41</v>
      </c>
      <c r="M91" s="59">
        <f>V91</f>
        <v>191</v>
      </c>
      <c r="N91" s="95">
        <v>105</v>
      </c>
      <c r="O91" s="47">
        <f>IF(AND(N91&gt;75),ROUNDDOWN(1.84523*(N91-75)^1.348,0),0)</f>
        <v>180</v>
      </c>
      <c r="P91" s="95"/>
      <c r="Q91" s="47">
        <f>IF(AND(P91&gt;210),ROUNDDOWN(0.188807*(P91-210)^1.41,0),0)</f>
        <v>0</v>
      </c>
      <c r="R91" s="99">
        <v>23.5</v>
      </c>
      <c r="S91" s="55">
        <f>IF(AND(R91&gt;7.95),ROUNDDOWN(7.86*(R91-7.95)^1.1,0),0)</f>
        <v>160</v>
      </c>
      <c r="U91" s="24">
        <f>J91*60+L91</f>
        <v>146.41</v>
      </c>
      <c r="V91" s="25">
        <f>IF(U91&gt;0,(INT(POWER(185-U91,1.88)*0.19889)),0)</f>
        <v>191</v>
      </c>
    </row>
    <row r="92" spans="1:22" ht="13.5" thickBot="1">
      <c r="A92" s="135"/>
      <c r="B92" s="11">
        <f>Jednotlivci!L69</f>
        <v>63</v>
      </c>
      <c r="C92" s="198" t="s">
        <v>109</v>
      </c>
      <c r="D92" s="133"/>
      <c r="E92" s="134"/>
      <c r="F92" s="40">
        <f>I92+M92+O92+Q92+S92</f>
        <v>1310</v>
      </c>
      <c r="G92" s="36">
        <f>F89</f>
        <v>4931</v>
      </c>
      <c r="H92" s="205">
        <v>9.2</v>
      </c>
      <c r="I92" s="47">
        <f>IF(AND(H92&gt;6.8,H92&lt;12.8),IF($B$5=1,ROUNDDOWN(46.0849*(12.76-H92)^1.81,0),ROUNDDOWN(46.0849*(13-H92)^1.81,)),0)</f>
        <v>458</v>
      </c>
      <c r="J92" s="88">
        <v>2</v>
      </c>
      <c r="K92" s="20" t="s">
        <v>24</v>
      </c>
      <c r="L92" s="144">
        <v>11.7</v>
      </c>
      <c r="M92" s="59">
        <f>V92</f>
        <v>350</v>
      </c>
      <c r="N92" s="95"/>
      <c r="O92" s="47">
        <f>IF(AND(N92&gt;75),ROUNDDOWN(1.84523*(N92-75)^1.348,0),0)</f>
        <v>0</v>
      </c>
      <c r="P92" s="95">
        <v>392</v>
      </c>
      <c r="Q92" s="47">
        <f>IF(AND(P92&gt;210),ROUNDDOWN(0.188807*(P92-210)^1.41,0),0)</f>
        <v>290</v>
      </c>
      <c r="R92" s="99">
        <v>28</v>
      </c>
      <c r="S92" s="55">
        <f>IF(AND(R92&gt;7.95),ROUNDDOWN(7.86*(R92-7.95)^1.1,0),0)</f>
        <v>212</v>
      </c>
      <c r="U92" s="24">
        <f>J92*60+L92</f>
        <v>131.7</v>
      </c>
      <c r="V92" s="25">
        <f>IF(U92&gt;0,(INT(POWER(185-U92,1.88)*0.19889)),0)</f>
        <v>350</v>
      </c>
    </row>
    <row r="93" spans="1:22" ht="13.5" thickBot="1">
      <c r="A93" s="135"/>
      <c r="B93" s="11" t="str">
        <f>Jednotlivci!L70</f>
        <v>NEV</v>
      </c>
      <c r="C93" s="198" t="s">
        <v>107</v>
      </c>
      <c r="D93" s="133"/>
      <c r="E93" s="134"/>
      <c r="F93" s="40">
        <f>I93+M93+O93+Q93+S93</f>
        <v>1042</v>
      </c>
      <c r="G93" s="36">
        <f>F89</f>
        <v>4931</v>
      </c>
      <c r="H93" s="205">
        <v>9.7</v>
      </c>
      <c r="I93" s="47">
        <f>IF(AND(H93&gt;6.8,H93&lt;12.8),IF($B$5=1,ROUNDDOWN(46.0849*(12.76-H93)^1.81,0),ROUNDDOWN(46.0849*(13-H93)^1.81,)),0)</f>
        <v>348</v>
      </c>
      <c r="J93" s="87">
        <v>2</v>
      </c>
      <c r="K93" s="30" t="s">
        <v>24</v>
      </c>
      <c r="L93" s="143">
        <v>19.3</v>
      </c>
      <c r="M93" s="59">
        <f>V93</f>
        <v>262</v>
      </c>
      <c r="N93" s="95"/>
      <c r="O93" s="47">
        <f>IF(AND(N93&gt;75),ROUNDDOWN(1.84523*(N93-75)^1.348,0),0)</f>
        <v>0</v>
      </c>
      <c r="P93" s="95">
        <v>365</v>
      </c>
      <c r="Q93" s="47">
        <f>IF(AND(P93&gt;210),ROUNDDOWN(0.188807*(P93-210)^1.41,0),0)</f>
        <v>231</v>
      </c>
      <c r="R93" s="99">
        <v>27</v>
      </c>
      <c r="S93" s="55">
        <f>IF(AND(R93&gt;7.95),ROUNDDOWN(7.86*(R93-7.95)^1.1,0),0)</f>
        <v>201</v>
      </c>
      <c r="U93" s="24">
        <f>J93*60+L93</f>
        <v>139.3</v>
      </c>
      <c r="V93" s="25">
        <f>IF(U93&gt;0,(INT(POWER(185-U93,1.88)*0.19889)),0)</f>
        <v>262</v>
      </c>
    </row>
    <row r="94" spans="1:22" ht="13.5" thickBot="1">
      <c r="A94" s="136"/>
      <c r="B94" s="14" t="str">
        <f>Jednotlivci!L71</f>
        <v>NEV</v>
      </c>
      <c r="C94" s="199" t="s">
        <v>111</v>
      </c>
      <c r="D94" s="16"/>
      <c r="E94" s="137"/>
      <c r="F94" s="41">
        <f>I94+M94+O94+Q94+S94</f>
        <v>1037</v>
      </c>
      <c r="G94" s="36">
        <f>F89</f>
        <v>4931</v>
      </c>
      <c r="H94" s="202">
        <v>9.3</v>
      </c>
      <c r="I94" s="48">
        <f>IF(AND(H94&gt;6.8,H94&lt;12.8),IF($B$5=1,ROUNDDOWN(46.0849*(12.76-H94)^1.81,0),ROUNDDOWN(46.0849*(13-H94)^1.81,)),0)</f>
        <v>435</v>
      </c>
      <c r="J94" s="89">
        <v>2</v>
      </c>
      <c r="K94" s="31" t="s">
        <v>24</v>
      </c>
      <c r="L94" s="145">
        <v>14.76</v>
      </c>
      <c r="M94" s="60">
        <f>V94</f>
        <v>313</v>
      </c>
      <c r="N94" s="96"/>
      <c r="O94" s="48">
        <f>IF(AND(N94&gt;75),ROUNDDOWN(1.84523*(N94-75)^1.348,0),0)</f>
        <v>0</v>
      </c>
      <c r="P94" s="96">
        <v>345</v>
      </c>
      <c r="Q94" s="48">
        <f>IF(AND(P94&gt;210),ROUNDDOWN(0.188807*(P94-210)^1.41,0),0)</f>
        <v>190</v>
      </c>
      <c r="R94" s="100">
        <v>18</v>
      </c>
      <c r="S94" s="56">
        <f>IF(AND(R94&gt;7.95),ROUNDDOWN(7.86*(R94-7.95)^1.1,0),0)</f>
        <v>99</v>
      </c>
      <c r="U94" s="24">
        <f>J94*60+L94</f>
        <v>134.76</v>
      </c>
      <c r="V94" s="25">
        <f>IF(U94&gt;0,(INT(POWER(185-U94,1.88)*0.19889)),0)</f>
        <v>313</v>
      </c>
    </row>
    <row r="95" ht="13.5" thickBot="1">
      <c r="H95" s="203"/>
    </row>
    <row r="96" spans="1:19" ht="13.5" thickBot="1">
      <c r="A96" s="184">
        <f>Družstva!A22</f>
        <v>14</v>
      </c>
      <c r="B96" s="183">
        <f>$B$5</f>
        <v>1</v>
      </c>
      <c r="C96" s="185" t="s">
        <v>118</v>
      </c>
      <c r="D96" s="186"/>
      <c r="E96" s="187" t="s">
        <v>32</v>
      </c>
      <c r="F96" s="44">
        <f>SUM(F97:F101)-MIN(F97:F101)</f>
        <v>0</v>
      </c>
      <c r="G96" s="37">
        <f>F96</f>
        <v>0</v>
      </c>
      <c r="H96" s="204"/>
      <c r="I96" s="81"/>
      <c r="J96" s="82"/>
      <c r="K96" s="83"/>
      <c r="L96" s="147"/>
      <c r="M96" s="84"/>
      <c r="N96" s="78"/>
      <c r="O96" s="81"/>
      <c r="P96" s="78"/>
      <c r="Q96" s="81"/>
      <c r="R96" s="79"/>
      <c r="S96" s="85"/>
    </row>
    <row r="97" spans="1:22" ht="13.5" thickBot="1">
      <c r="A97" s="138"/>
      <c r="B97" s="139" t="str">
        <f>Jednotlivci!L72</f>
        <v>NEV</v>
      </c>
      <c r="C97" s="149" t="s">
        <v>35</v>
      </c>
      <c r="D97" s="140"/>
      <c r="E97" s="141"/>
      <c r="F97" s="39">
        <f>I97+M97+O97+Q97+S97</f>
        <v>0</v>
      </c>
      <c r="G97" s="36">
        <f>F96</f>
        <v>0</v>
      </c>
      <c r="H97" s="126"/>
      <c r="I97" s="45">
        <f>IF(AND(H97&gt;6.8,H97&lt;12.8),IF($B$5=1,ROUNDDOWN(46.0849*(12.76-H97)^1.81,0),ROUNDDOWN(46.0849*(13-H97)^1.81,)),0)</f>
        <v>0</v>
      </c>
      <c r="J97" s="86"/>
      <c r="K97" s="32" t="s">
        <v>24</v>
      </c>
      <c r="L97" s="142"/>
      <c r="M97" s="57">
        <f>V97</f>
        <v>0</v>
      </c>
      <c r="N97" s="97">
        <v>0</v>
      </c>
      <c r="O97" s="45">
        <f>IF(AND(N97&gt;75),ROUNDDOWN(1.84523*(N97-75)^1.348,0),0)</f>
        <v>0</v>
      </c>
      <c r="P97" s="94"/>
      <c r="Q97" s="45">
        <f>IF(AND(P97&gt;210),ROUNDDOWN(0.188807*(P97-210)^1.41,0),0)</f>
        <v>0</v>
      </c>
      <c r="R97" s="101"/>
      <c r="S97" s="53">
        <f>IF(AND(R97&gt;7.95),ROUNDDOWN(7.86*(R97-7.95)^1.1,0),0)</f>
        <v>0</v>
      </c>
      <c r="U97" s="24">
        <f>J97*60+L97</f>
        <v>0</v>
      </c>
      <c r="V97" s="25">
        <f>IF(U97&gt;0,(INT(POWER(185-U97,1.88)*0.19889)),0)</f>
        <v>0</v>
      </c>
    </row>
    <row r="98" spans="1:22" ht="13.5" thickBot="1">
      <c r="A98" s="135"/>
      <c r="B98" s="11" t="str">
        <f>Jednotlivci!L73</f>
        <v>NEV</v>
      </c>
      <c r="C98" s="150" t="s">
        <v>36</v>
      </c>
      <c r="D98" s="133"/>
      <c r="E98" s="134"/>
      <c r="F98" s="40">
        <f>I98+M98+O98+Q98+S98</f>
        <v>0</v>
      </c>
      <c r="G98" s="36">
        <f>F96</f>
        <v>0</v>
      </c>
      <c r="H98" s="205"/>
      <c r="I98" s="47">
        <f>IF(AND(H98&gt;6.8,H98&lt;12.8),IF($B$5=1,ROUNDDOWN(46.0849*(12.76-H98)^1.81,0),ROUNDDOWN(46.0849*(13-H98)^1.81,)),0)</f>
        <v>0</v>
      </c>
      <c r="J98" s="87"/>
      <c r="K98" s="30" t="s">
        <v>24</v>
      </c>
      <c r="L98" s="143"/>
      <c r="M98" s="59">
        <f>V98</f>
        <v>0</v>
      </c>
      <c r="N98" s="95">
        <v>0</v>
      </c>
      <c r="O98" s="47">
        <f>IF(AND(N98&gt;75),ROUNDDOWN(1.84523*(N98-75)^1.348,0),0)</f>
        <v>0</v>
      </c>
      <c r="P98" s="95"/>
      <c r="Q98" s="47">
        <f>IF(AND(P98&gt;210),ROUNDDOWN(0.188807*(P98-210)^1.41,0),0)</f>
        <v>0</v>
      </c>
      <c r="R98" s="99"/>
      <c r="S98" s="55">
        <f>IF(AND(R98&gt;7.95),ROUNDDOWN(7.86*(R98-7.95)^1.1,0),0)</f>
        <v>0</v>
      </c>
      <c r="U98" s="24">
        <f>J98*60+L98</f>
        <v>0</v>
      </c>
      <c r="V98" s="25">
        <f>IF(U98&gt;0,(INT(POWER(185-U98,1.88)*0.19889)),0)</f>
        <v>0</v>
      </c>
    </row>
    <row r="99" spans="1:22" ht="13.5" thickBot="1">
      <c r="A99" s="135"/>
      <c r="B99" s="11" t="str">
        <f>Jednotlivci!L74</f>
        <v>NEV</v>
      </c>
      <c r="C99" s="150" t="s">
        <v>37</v>
      </c>
      <c r="D99" s="133"/>
      <c r="E99" s="134"/>
      <c r="F99" s="40">
        <f>I99+M99+O99+Q99+S99</f>
        <v>0</v>
      </c>
      <c r="G99" s="36">
        <f>F96</f>
        <v>0</v>
      </c>
      <c r="H99" s="205"/>
      <c r="I99" s="47">
        <f>IF(AND(H99&gt;6.8,H99&lt;12.8),IF($B$5=1,ROUNDDOWN(46.0849*(12.76-H99)^1.81,0),ROUNDDOWN(46.0849*(13-H99)^1.81,)),0)</f>
        <v>0</v>
      </c>
      <c r="J99" s="88"/>
      <c r="K99" s="20" t="s">
        <v>24</v>
      </c>
      <c r="L99" s="144"/>
      <c r="M99" s="59">
        <f>V99</f>
        <v>0</v>
      </c>
      <c r="N99" s="95"/>
      <c r="O99" s="47">
        <f>IF(AND(N99&gt;75),ROUNDDOWN(1.84523*(N99-75)^1.348,0),0)</f>
        <v>0</v>
      </c>
      <c r="P99" s="95"/>
      <c r="Q99" s="47">
        <f>IF(AND(P99&gt;210),ROUNDDOWN(0.188807*(P99-210)^1.41,0),0)</f>
        <v>0</v>
      </c>
      <c r="R99" s="99"/>
      <c r="S99" s="55">
        <f>IF(AND(R99&gt;7.95),ROUNDDOWN(7.86*(R99-7.95)^1.1,0),0)</f>
        <v>0</v>
      </c>
      <c r="U99" s="24">
        <f>J99*60+L99</f>
        <v>0</v>
      </c>
      <c r="V99" s="25">
        <f>IF(U99&gt;0,(INT(POWER(185-U99,1.88)*0.19889)),0)</f>
        <v>0</v>
      </c>
    </row>
    <row r="100" spans="1:22" ht="13.5" thickBot="1">
      <c r="A100" s="135"/>
      <c r="B100" s="11" t="str">
        <f>Jednotlivci!L75</f>
        <v>NEV</v>
      </c>
      <c r="C100" s="150" t="s">
        <v>38</v>
      </c>
      <c r="D100" s="133"/>
      <c r="E100" s="134"/>
      <c r="F100" s="40">
        <f>I100+M100+O100+Q100+S100</f>
        <v>0</v>
      </c>
      <c r="G100" s="36">
        <f>F96</f>
        <v>0</v>
      </c>
      <c r="H100" s="205"/>
      <c r="I100" s="47">
        <f>IF(AND(H100&gt;6.8,H100&lt;12.8),IF($B$5=1,ROUNDDOWN(46.0849*(12.76-H100)^1.81,0),ROUNDDOWN(46.0849*(13-H100)^1.81,)),0)</f>
        <v>0</v>
      </c>
      <c r="J100" s="87"/>
      <c r="K100" s="30" t="s">
        <v>24</v>
      </c>
      <c r="L100" s="143"/>
      <c r="M100" s="59">
        <f>V100</f>
        <v>0</v>
      </c>
      <c r="N100" s="95"/>
      <c r="O100" s="47">
        <f>IF(AND(N100&gt;75),ROUNDDOWN(1.84523*(N100-75)^1.348,0),0)</f>
        <v>0</v>
      </c>
      <c r="P100" s="95"/>
      <c r="Q100" s="47">
        <f>IF(AND(P100&gt;210),ROUNDDOWN(0.188807*(P100-210)^1.41,0),0)</f>
        <v>0</v>
      </c>
      <c r="R100" s="99"/>
      <c r="S100" s="55">
        <f>IF(AND(R100&gt;7.95),ROUNDDOWN(7.86*(R100-7.95)^1.1,0),0)</f>
        <v>0</v>
      </c>
      <c r="U100" s="24">
        <f>J100*60+L100</f>
        <v>0</v>
      </c>
      <c r="V100" s="25">
        <f>IF(U100&gt;0,(INT(POWER(185-U100,1.88)*0.19889)),0)</f>
        <v>0</v>
      </c>
    </row>
    <row r="101" spans="1:22" ht="13.5" thickBot="1">
      <c r="A101" s="136"/>
      <c r="B101" s="14" t="str">
        <f>Jednotlivci!L76</f>
        <v>NEV</v>
      </c>
      <c r="C101" s="151" t="s">
        <v>39</v>
      </c>
      <c r="D101" s="16"/>
      <c r="E101" s="137"/>
      <c r="F101" s="41">
        <f>I101+M101+O101+Q101+S101</f>
        <v>0</v>
      </c>
      <c r="G101" s="36">
        <f>F96</f>
        <v>0</v>
      </c>
      <c r="H101" s="202"/>
      <c r="I101" s="48">
        <f>IF(AND(H101&gt;6.8,H101&lt;12.8),IF($B$5=1,ROUNDDOWN(46.0849*(12.76-H101)^1.81,0),ROUNDDOWN(46.0849*(13-H101)^1.81,)),0)</f>
        <v>0</v>
      </c>
      <c r="J101" s="89"/>
      <c r="K101" s="31" t="s">
        <v>24</v>
      </c>
      <c r="L101" s="145"/>
      <c r="M101" s="60">
        <f>V101</f>
        <v>0</v>
      </c>
      <c r="N101" s="96"/>
      <c r="O101" s="48">
        <f>IF(AND(N101&gt;75),ROUNDDOWN(1.84523*(N101-75)^1.348,0),0)</f>
        <v>0</v>
      </c>
      <c r="P101" s="96"/>
      <c r="Q101" s="48">
        <f>IF(AND(P101&gt;210),ROUNDDOWN(0.188807*(P101-210)^1.41,0),0)</f>
        <v>0</v>
      </c>
      <c r="R101" s="100"/>
      <c r="S101" s="56">
        <f>IF(AND(R101&gt;7.95),ROUNDDOWN(7.86*(R101-7.95)^1.1,0),0)</f>
        <v>0</v>
      </c>
      <c r="U101" s="24">
        <f>J101*60+L101</f>
        <v>0</v>
      </c>
      <c r="V101" s="25">
        <f>IF(U101&gt;0,(INT(POWER(185-U101,1.88)*0.19889)),0)</f>
        <v>0</v>
      </c>
    </row>
    <row r="102" ht="13.5" thickBot="1">
      <c r="H102" s="203"/>
    </row>
    <row r="103" spans="1:19" ht="13.5" thickBot="1">
      <c r="A103" s="184">
        <f>Družstva!A23</f>
        <v>14</v>
      </c>
      <c r="B103" s="183">
        <f>$B$5</f>
        <v>1</v>
      </c>
      <c r="C103" s="185" t="s">
        <v>118</v>
      </c>
      <c r="D103" s="186"/>
      <c r="E103" s="187" t="s">
        <v>32</v>
      </c>
      <c r="F103" s="44">
        <f>SUM(F104:F108)-MIN(F104:F108)</f>
        <v>0</v>
      </c>
      <c r="G103" s="37">
        <f>F103</f>
        <v>0</v>
      </c>
      <c r="H103" s="204"/>
      <c r="I103" s="81"/>
      <c r="J103" s="82"/>
      <c r="K103" s="83"/>
      <c r="L103" s="147"/>
      <c r="M103" s="84"/>
      <c r="N103" s="78"/>
      <c r="O103" s="81"/>
      <c r="P103" s="78"/>
      <c r="Q103" s="81"/>
      <c r="R103" s="79"/>
      <c r="S103" s="85"/>
    </row>
    <row r="104" spans="1:22" ht="13.5" thickBot="1">
      <c r="A104" s="138"/>
      <c r="B104" s="139" t="str">
        <f>Jednotlivci!L77</f>
        <v>NEV</v>
      </c>
      <c r="C104" s="149" t="s">
        <v>35</v>
      </c>
      <c r="D104" s="140"/>
      <c r="E104" s="141"/>
      <c r="F104" s="39">
        <f>I104+M104+O104+Q104+S104</f>
        <v>0</v>
      </c>
      <c r="G104" s="36">
        <f>F103</f>
        <v>0</v>
      </c>
      <c r="H104" s="126"/>
      <c r="I104" s="45">
        <f>IF(AND(H104&gt;6.8,H104&lt;12.8),IF($B$5=1,ROUNDDOWN(46.0849*(12.76-H104)^1.81,0),ROUNDDOWN(46.0849*(13-H104)^1.81,)),0)</f>
        <v>0</v>
      </c>
      <c r="J104" s="86"/>
      <c r="K104" s="32" t="s">
        <v>24</v>
      </c>
      <c r="L104" s="142"/>
      <c r="M104" s="57">
        <f>V104</f>
        <v>0</v>
      </c>
      <c r="N104" s="97">
        <v>0</v>
      </c>
      <c r="O104" s="45">
        <f>IF(AND(N104&gt;75),ROUNDDOWN(1.84523*(N104-75)^1.348,0),0)</f>
        <v>0</v>
      </c>
      <c r="P104" s="94"/>
      <c r="Q104" s="45">
        <f>IF(AND(P104&gt;210),ROUNDDOWN(0.188807*(P104-210)^1.41,0),0)</f>
        <v>0</v>
      </c>
      <c r="R104" s="101"/>
      <c r="S104" s="53">
        <f>IF(AND(R104&gt;7.95),ROUNDDOWN(7.86*(R104-7.95)^1.1,0),0)</f>
        <v>0</v>
      </c>
      <c r="U104" s="24">
        <f>J104*60+L104</f>
        <v>0</v>
      </c>
      <c r="V104" s="25">
        <f>IF(U104&gt;0,(INT(POWER(185-U104,1.88)*0.19889)),0)</f>
        <v>0</v>
      </c>
    </row>
    <row r="105" spans="1:22" ht="13.5" thickBot="1">
      <c r="A105" s="135"/>
      <c r="B105" s="11" t="str">
        <f>Jednotlivci!L78</f>
        <v>NEV</v>
      </c>
      <c r="C105" s="150" t="s">
        <v>36</v>
      </c>
      <c r="D105" s="133"/>
      <c r="E105" s="134"/>
      <c r="F105" s="40">
        <f>I105+M105+O105+Q105+S105</f>
        <v>0</v>
      </c>
      <c r="G105" s="36">
        <f>F103</f>
        <v>0</v>
      </c>
      <c r="H105" s="205"/>
      <c r="I105" s="47">
        <f>IF(AND(H105&gt;6.8,H105&lt;12.8),IF($B$5=1,ROUNDDOWN(46.0849*(12.76-H105)^1.81,0),ROUNDDOWN(46.0849*(13-H105)^1.81,)),0)</f>
        <v>0</v>
      </c>
      <c r="J105" s="87"/>
      <c r="K105" s="30" t="s">
        <v>24</v>
      </c>
      <c r="L105" s="143"/>
      <c r="M105" s="59">
        <f>V105</f>
        <v>0</v>
      </c>
      <c r="N105" s="95">
        <v>0</v>
      </c>
      <c r="O105" s="47">
        <f>IF(AND(N105&gt;75),ROUNDDOWN(1.84523*(N105-75)^1.348,0),0)</f>
        <v>0</v>
      </c>
      <c r="P105" s="95"/>
      <c r="Q105" s="47">
        <f>IF(AND(P105&gt;210),ROUNDDOWN(0.188807*(P105-210)^1.41,0),0)</f>
        <v>0</v>
      </c>
      <c r="R105" s="99"/>
      <c r="S105" s="55">
        <f>IF(AND(R105&gt;7.95),ROUNDDOWN(7.86*(R105-7.95)^1.1,0),0)</f>
        <v>0</v>
      </c>
      <c r="U105" s="24">
        <f>J105*60+L105</f>
        <v>0</v>
      </c>
      <c r="V105" s="25">
        <f>IF(U105&gt;0,(INT(POWER(185-U105,1.88)*0.19889)),0)</f>
        <v>0</v>
      </c>
    </row>
    <row r="106" spans="1:22" ht="13.5" thickBot="1">
      <c r="A106" s="135"/>
      <c r="B106" s="11" t="str">
        <f>Jednotlivci!L79</f>
        <v>NEV</v>
      </c>
      <c r="C106" s="150" t="s">
        <v>37</v>
      </c>
      <c r="D106" s="133"/>
      <c r="E106" s="134"/>
      <c r="F106" s="40">
        <f>I106+M106+O106+Q106+S106</f>
        <v>0</v>
      </c>
      <c r="G106" s="36">
        <f>F103</f>
        <v>0</v>
      </c>
      <c r="H106" s="205"/>
      <c r="I106" s="47">
        <f>IF(AND(H106&gt;6.8,H106&lt;12.8),IF($B$5=1,ROUNDDOWN(46.0849*(12.76-H106)^1.81,0),ROUNDDOWN(46.0849*(13-H106)^1.81,)),0)</f>
        <v>0</v>
      </c>
      <c r="J106" s="88"/>
      <c r="K106" s="20" t="s">
        <v>24</v>
      </c>
      <c r="L106" s="144"/>
      <c r="M106" s="59">
        <f>V106</f>
        <v>0</v>
      </c>
      <c r="N106" s="95"/>
      <c r="O106" s="47">
        <f>IF(AND(N106&gt;75),ROUNDDOWN(1.84523*(N106-75)^1.348,0),0)</f>
        <v>0</v>
      </c>
      <c r="P106" s="95"/>
      <c r="Q106" s="47">
        <f>IF(AND(P106&gt;210),ROUNDDOWN(0.188807*(P106-210)^1.41,0),0)</f>
        <v>0</v>
      </c>
      <c r="R106" s="99"/>
      <c r="S106" s="55">
        <f>IF(AND(R106&gt;7.95),ROUNDDOWN(7.86*(R106-7.95)^1.1,0),0)</f>
        <v>0</v>
      </c>
      <c r="U106" s="24">
        <f>J106*60+L106</f>
        <v>0</v>
      </c>
      <c r="V106" s="25">
        <f>IF(U106&gt;0,(INT(POWER(185-U106,1.88)*0.19889)),0)</f>
        <v>0</v>
      </c>
    </row>
    <row r="107" spans="1:22" ht="13.5" thickBot="1">
      <c r="A107" s="135"/>
      <c r="B107" s="11" t="str">
        <f>Jednotlivci!L80</f>
        <v>NEV</v>
      </c>
      <c r="C107" s="150" t="s">
        <v>38</v>
      </c>
      <c r="D107" s="133"/>
      <c r="E107" s="134"/>
      <c r="F107" s="40">
        <f>I107+M107+O107+Q107+S107</f>
        <v>0</v>
      </c>
      <c r="G107" s="36">
        <f>F103</f>
        <v>0</v>
      </c>
      <c r="H107" s="205">
        <v>0</v>
      </c>
      <c r="I107" s="47">
        <f>IF(AND(H107&gt;6.8,H107&lt;12.8),IF($B$5=1,ROUNDDOWN(46.0849*(12.76-H107)^1.81,0),ROUNDDOWN(46.0849*(13-H107)^1.81,)),0)</f>
        <v>0</v>
      </c>
      <c r="J107" s="87"/>
      <c r="K107" s="30" t="s">
        <v>24</v>
      </c>
      <c r="L107" s="143"/>
      <c r="M107" s="59">
        <f>V107</f>
        <v>0</v>
      </c>
      <c r="N107" s="95"/>
      <c r="O107" s="47">
        <f>IF(AND(N107&gt;75),ROUNDDOWN(1.84523*(N107-75)^1.348,0),0)</f>
        <v>0</v>
      </c>
      <c r="P107" s="95"/>
      <c r="Q107" s="47">
        <f>IF(AND(P107&gt;210),ROUNDDOWN(0.188807*(P107-210)^1.41,0),0)</f>
        <v>0</v>
      </c>
      <c r="R107" s="99"/>
      <c r="S107" s="55">
        <f>IF(AND(R107&gt;7.95),ROUNDDOWN(7.86*(R107-7.95)^1.1,0),0)</f>
        <v>0</v>
      </c>
      <c r="U107" s="24">
        <f>J107*60+L107</f>
        <v>0</v>
      </c>
      <c r="V107" s="25">
        <f>IF(U107&gt;0,(INT(POWER(185-U107,1.88)*0.19889)),0)</f>
        <v>0</v>
      </c>
    </row>
    <row r="108" spans="1:22" ht="13.5" thickBot="1">
      <c r="A108" s="136"/>
      <c r="B108" s="14" t="str">
        <f>Jednotlivci!L81</f>
        <v>NEV</v>
      </c>
      <c r="C108" s="151" t="s">
        <v>39</v>
      </c>
      <c r="D108" s="16"/>
      <c r="E108" s="137"/>
      <c r="F108" s="41">
        <f>I108+M108+O108+Q108+S108</f>
        <v>0</v>
      </c>
      <c r="G108" s="36">
        <f>F103</f>
        <v>0</v>
      </c>
      <c r="H108" s="202"/>
      <c r="I108" s="48">
        <f>IF(AND(H108&gt;6.8,H108&lt;12.8),IF($B$5=1,ROUNDDOWN(46.0849*(12.76-H108)^1.81,0),ROUNDDOWN(46.0849*(13-H108)^1.81,)),0)</f>
        <v>0</v>
      </c>
      <c r="J108" s="89"/>
      <c r="K108" s="31" t="s">
        <v>24</v>
      </c>
      <c r="L108" s="145"/>
      <c r="M108" s="60">
        <f>V108</f>
        <v>0</v>
      </c>
      <c r="N108" s="96"/>
      <c r="O108" s="48">
        <f>IF(AND(N108&gt;75),ROUNDDOWN(1.84523*(N108-75)^1.348,0),0)</f>
        <v>0</v>
      </c>
      <c r="P108" s="96"/>
      <c r="Q108" s="48">
        <f>IF(AND(P108&gt;210),ROUNDDOWN(0.188807*(P108-210)^1.41,0),0)</f>
        <v>0</v>
      </c>
      <c r="R108" s="100"/>
      <c r="S108" s="56">
        <f>IF(AND(R108&gt;7.95),ROUNDDOWN(7.86*(R108-7.95)^1.1,0),0)</f>
        <v>0</v>
      </c>
      <c r="U108" s="24">
        <f>J108*60+L108</f>
        <v>0</v>
      </c>
      <c r="V108" s="25">
        <f>IF(U108&gt;0,(INT(POWER(185-U108,1.88)*0.19889)),0)</f>
        <v>0</v>
      </c>
    </row>
  </sheetData>
  <sheetProtection/>
  <mergeCells count="1">
    <mergeCell ref="J4:L4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7:P2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140625" style="0" customWidth="1"/>
    <col min="2" max="2" width="1.8515625" style="0" customWidth="1"/>
    <col min="3" max="3" width="35.421875" style="0" customWidth="1"/>
    <col min="4" max="4" width="5.8515625" style="0" bestFit="1" customWidth="1"/>
    <col min="5" max="5" width="11.421875" style="0" bestFit="1" customWidth="1"/>
    <col min="6" max="6" width="18.57421875" style="0" bestFit="1" customWidth="1"/>
    <col min="7" max="7" width="5.00390625" style="0" bestFit="1" customWidth="1"/>
    <col min="8" max="8" width="16.140625" style="0" bestFit="1" customWidth="1"/>
    <col min="9" max="9" width="5.00390625" style="0" bestFit="1" customWidth="1"/>
    <col min="10" max="10" width="18.7109375" style="0" bestFit="1" customWidth="1"/>
    <col min="11" max="11" width="5.00390625" style="0" bestFit="1" customWidth="1"/>
    <col min="12" max="12" width="18.28125" style="0" bestFit="1" customWidth="1"/>
    <col min="13" max="13" width="5.00390625" style="0" bestFit="1" customWidth="1"/>
    <col min="14" max="14" width="16.28125" style="0" bestFit="1" customWidth="1"/>
    <col min="15" max="15" width="5.00390625" style="0" bestFit="1" customWidth="1"/>
  </cols>
  <sheetData>
    <row r="7" spans="1:5" ht="15.75">
      <c r="A7" s="155"/>
      <c r="B7" s="155"/>
      <c r="C7" s="156" t="s">
        <v>116</v>
      </c>
      <c r="D7" s="155"/>
      <c r="E7" s="155"/>
    </row>
    <row r="8" spans="1:5" ht="15">
      <c r="A8" s="155" t="s">
        <v>13</v>
      </c>
      <c r="B8" s="155"/>
      <c r="C8" s="155" t="s">
        <v>14</v>
      </c>
      <c r="D8" s="155" t="s">
        <v>15</v>
      </c>
      <c r="E8" s="155" t="s">
        <v>16</v>
      </c>
    </row>
    <row r="9" spans="1:16" ht="15.75">
      <c r="A9" s="157">
        <f aca="true" t="shared" si="0" ref="A9:A23">(RANK(E9,$E$9:$E$23))</f>
        <v>1</v>
      </c>
      <c r="B9" s="157"/>
      <c r="C9" s="158" t="str">
        <f>Bodování!$C$68</f>
        <v>Gymnázium Velké Meziříčí</v>
      </c>
      <c r="D9" s="159" t="str">
        <f>Bodování!$E$68</f>
        <v>VYS</v>
      </c>
      <c r="E9" s="160">
        <f>Bodování!$F$68</f>
        <v>6715</v>
      </c>
      <c r="F9" s="164" t="str">
        <f>Bodování!$C$69</f>
        <v>Marková Kateřina</v>
      </c>
      <c r="G9" s="120">
        <f>Bodování!$F$69</f>
        <v>1486</v>
      </c>
      <c r="H9" s="164" t="str">
        <f>Bodování!$C$70</f>
        <v>Pospíšilová Klára</v>
      </c>
      <c r="I9" s="120">
        <f>Bodování!$F$70</f>
        <v>1599</v>
      </c>
      <c r="J9" s="164" t="str">
        <f>Bodování!$C$71</f>
        <v>Rašovská Zuzana</v>
      </c>
      <c r="K9" s="120">
        <f>Bodování!$F$71</f>
        <v>1918</v>
      </c>
      <c r="L9" s="164" t="str">
        <f>Bodování!$C$72</f>
        <v>Bajerová Adéla</v>
      </c>
      <c r="M9" s="120">
        <f>Bodování!$F$72</f>
        <v>1428</v>
      </c>
      <c r="N9" s="164" t="str">
        <f>Bodování!$C$73</f>
        <v>Podrábská Věra</v>
      </c>
      <c r="O9" s="120">
        <f>Bodování!$F$73</f>
        <v>1712</v>
      </c>
      <c r="P9" s="18"/>
    </row>
    <row r="10" spans="1:15" ht="15.75">
      <c r="A10" s="157">
        <f t="shared" si="0"/>
        <v>2</v>
      </c>
      <c r="B10" s="157"/>
      <c r="C10" s="214" t="str">
        <f>Bodování!$C$61</f>
        <v>2. ZŠ Žďár nad Sázavou</v>
      </c>
      <c r="D10" s="159" t="str">
        <f>Bodování!$E$61</f>
        <v>VYS</v>
      </c>
      <c r="E10" s="160">
        <f>Bodování!$F$61</f>
        <v>6569</v>
      </c>
      <c r="F10" s="164" t="str">
        <f>Bodování!$C$62</f>
        <v>Flesarová Ema</v>
      </c>
      <c r="G10" s="120">
        <f>Bodování!$F$62</f>
        <v>1629</v>
      </c>
      <c r="H10" s="164" t="str">
        <f>Bodování!$C$63</f>
        <v>Krejčí Lucie</v>
      </c>
      <c r="I10" s="120">
        <f>Bodování!$F$63</f>
        <v>1701</v>
      </c>
      <c r="J10" s="164" t="str">
        <f>Bodování!$C$64</f>
        <v>Poulová Anna</v>
      </c>
      <c r="K10" s="120">
        <f>Bodování!$F$64</f>
        <v>1472</v>
      </c>
      <c r="L10" s="164" t="str">
        <f>Bodování!$C$65</f>
        <v>Rosecká Lucie</v>
      </c>
      <c r="M10" s="120">
        <f>Bodování!$F$65</f>
        <v>1767</v>
      </c>
      <c r="N10" s="164" t="str">
        <f>Bodování!$C$66</f>
        <v>Kršková Anna Marie</v>
      </c>
      <c r="O10" s="120">
        <f>Bodování!$F$66</f>
        <v>1169</v>
      </c>
    </row>
    <row r="11" spans="1:15" ht="15.75">
      <c r="A11" s="157">
        <f t="shared" si="0"/>
        <v>3</v>
      </c>
      <c r="B11" s="157"/>
      <c r="C11" s="158" t="str">
        <f>Bodování!$C$47</f>
        <v>ZŠ Školní Velké Meziříčí</v>
      </c>
      <c r="D11" s="159" t="str">
        <f>Bodování!$E$47</f>
        <v>VYS</v>
      </c>
      <c r="E11" s="160">
        <f>Bodování!$F$47</f>
        <v>5968</v>
      </c>
      <c r="F11" s="164" t="str">
        <f>Bodování!$C$48</f>
        <v>Mašterová Eliška</v>
      </c>
      <c r="G11" s="120">
        <f>Bodování!$F$48</f>
        <v>1635</v>
      </c>
      <c r="H11" s="164" t="str">
        <f>Bodování!$C$49</f>
        <v>Malcová Natálie</v>
      </c>
      <c r="I11" s="120">
        <f>Bodování!$F$49</f>
        <v>1070</v>
      </c>
      <c r="J11" s="164" t="str">
        <f>Bodování!$C$50</f>
        <v>Pitříková Aneta</v>
      </c>
      <c r="K11" s="120">
        <f>Bodování!$F$50</f>
        <v>1268</v>
      </c>
      <c r="L11" s="164" t="str">
        <f>Bodování!$C$51</f>
        <v>Stará Tereza</v>
      </c>
      <c r="M11" s="120">
        <f>Bodování!$F$51</f>
        <v>1323</v>
      </c>
      <c r="N11" s="164" t="str">
        <f>Bodování!$C$52</f>
        <v>Pavlidu Sára</v>
      </c>
      <c r="O11" s="120">
        <f>Bodování!$F$52</f>
        <v>1742</v>
      </c>
    </row>
    <row r="12" spans="1:15" ht="15.75">
      <c r="A12" s="157">
        <f t="shared" si="0"/>
        <v>4</v>
      </c>
      <c r="B12" s="161"/>
      <c r="C12" s="162" t="str">
        <f>Bodování!C75</f>
        <v>ZŠ Sokolovská V. Meziříčí</v>
      </c>
      <c r="D12" s="162" t="str">
        <f>Bodování!E75</f>
        <v>VYS</v>
      </c>
      <c r="E12" s="163">
        <f>Bodování!F75</f>
        <v>5699</v>
      </c>
      <c r="F12" s="165" t="str">
        <f>Bodování!C76</f>
        <v>Hrubá Karolína</v>
      </c>
      <c r="G12" s="166">
        <f>Bodování!F76</f>
        <v>1666</v>
      </c>
      <c r="H12" s="165" t="str">
        <f>Bodování!C77</f>
        <v>Kuřátková Klára</v>
      </c>
      <c r="I12" s="166">
        <f>Bodování!F77</f>
        <v>1438</v>
      </c>
      <c r="J12" s="165" t="str">
        <f>Bodování!C78</f>
        <v>Drápelová Kateřina</v>
      </c>
      <c r="K12" s="166">
        <f>Bodování!F78</f>
        <v>1043</v>
      </c>
      <c r="L12" s="165" t="str">
        <f>Bodování!C79</f>
        <v>Burešová Lucie</v>
      </c>
      <c r="M12" s="166">
        <f>Bodování!F79</f>
        <v>1126</v>
      </c>
      <c r="N12" s="165" t="str">
        <f>Bodování!C80</f>
        <v>Havlátová Zuzana</v>
      </c>
      <c r="O12" s="166">
        <f>Bodování!F80</f>
        <v>1469</v>
      </c>
    </row>
    <row r="13" spans="1:15" ht="15.75">
      <c r="A13" s="157">
        <f t="shared" si="0"/>
        <v>5</v>
      </c>
      <c r="B13" s="157"/>
      <c r="C13" s="158" t="str">
        <f>Bodování!$C$33</f>
        <v>ZŠ Oslavická V. Meziříčí</v>
      </c>
      <c r="D13" s="159" t="str">
        <f>Bodování!$E$33</f>
        <v>VYS</v>
      </c>
      <c r="E13" s="160">
        <f>Bodování!$F$33</f>
        <v>5549</v>
      </c>
      <c r="F13" s="164" t="str">
        <f>Bodování!$C$34</f>
        <v>Švihálková Vendula</v>
      </c>
      <c r="G13" s="120">
        <f>Bodování!$F$34</f>
        <v>1285</v>
      </c>
      <c r="H13" s="164" t="str">
        <f>Bodování!$C$35</f>
        <v>Jamshidogholdori Selin</v>
      </c>
      <c r="I13" s="120">
        <f>Bodování!$F$35</f>
        <v>1428</v>
      </c>
      <c r="J13" s="164" t="str">
        <f>Bodování!$C$36</f>
        <v>Pálková Pavlína</v>
      </c>
      <c r="K13" s="120">
        <f>Bodování!$F$36</f>
        <v>1240</v>
      </c>
      <c r="L13" s="164" t="str">
        <f>Bodování!$C$37</f>
        <v>Halasová Klára</v>
      </c>
      <c r="M13" s="120">
        <f>Bodování!$F$37</f>
        <v>1406</v>
      </c>
      <c r="N13" s="164" t="str">
        <f>Bodování!$C$38</f>
        <v>Mašková Kateřina</v>
      </c>
      <c r="O13" s="120">
        <f>Bodování!$F$38</f>
        <v>1430</v>
      </c>
    </row>
    <row r="14" spans="1:15" ht="15.75">
      <c r="A14" s="157">
        <f t="shared" si="0"/>
        <v>6</v>
      </c>
      <c r="B14" s="157"/>
      <c r="C14" s="158" t="str">
        <f>Bodování!$C$19</f>
        <v>ZŠ Měřín</v>
      </c>
      <c r="D14" s="159" t="str">
        <f>Bodování!$E$19</f>
        <v>VYS</v>
      </c>
      <c r="E14" s="160">
        <f>Bodování!$F$19</f>
        <v>5414</v>
      </c>
      <c r="F14" s="164" t="str">
        <f>Bodování!$C$20</f>
        <v>Lírová Eliška</v>
      </c>
      <c r="G14" s="120">
        <f>Bodování!$F$20</f>
        <v>1427</v>
      </c>
      <c r="H14" s="164" t="str">
        <f>Bodování!$C$21</f>
        <v>Smažilová Tereza</v>
      </c>
      <c r="I14" s="120">
        <f>Bodování!$F$21</f>
        <v>1245</v>
      </c>
      <c r="J14" s="164" t="str">
        <f>Bodování!$C$22</f>
        <v>Koudelová Hana</v>
      </c>
      <c r="K14" s="120">
        <f>Bodování!$F$22</f>
        <v>1237</v>
      </c>
      <c r="L14" s="164" t="str">
        <f>Bodování!$C$23</f>
        <v>Krčálová Hana</v>
      </c>
      <c r="M14" s="120">
        <f>Bodování!$F$23</f>
        <v>1396</v>
      </c>
      <c r="N14" s="164" t="str">
        <f>Bodování!$C$24</f>
        <v>Veselá Jana</v>
      </c>
      <c r="O14" s="120">
        <f>Bodování!F24</f>
        <v>1346</v>
      </c>
    </row>
    <row r="15" spans="1:15" ht="15.75">
      <c r="A15" s="157">
        <f t="shared" si="0"/>
        <v>7</v>
      </c>
      <c r="B15" s="157"/>
      <c r="C15" s="158" t="str">
        <f>Bodování!$C$26</f>
        <v>ZŠ Velká Bíteš</v>
      </c>
      <c r="D15" s="159" t="str">
        <f>Bodování!$E$26</f>
        <v>VYS</v>
      </c>
      <c r="E15" s="160">
        <f>Bodování!$F$26</f>
        <v>5332</v>
      </c>
      <c r="F15" s="164" t="str">
        <f>Bodování!$C$27</f>
        <v>Ventrubová Aneta</v>
      </c>
      <c r="G15" s="120">
        <f>Bodování!$F$27</f>
        <v>1465</v>
      </c>
      <c r="H15" s="164" t="str">
        <f>Bodování!$C$28</f>
        <v>Dočkalová Natálie</v>
      </c>
      <c r="I15" s="120">
        <f>Bodování!$F$28</f>
        <v>1253</v>
      </c>
      <c r="J15" s="164" t="str">
        <f>Bodování!$C$29</f>
        <v>Padyšáková Sofie</v>
      </c>
      <c r="K15" s="120">
        <f>Bodování!$F$29</f>
        <v>1287</v>
      </c>
      <c r="L15" s="164" t="str">
        <f>Bodování!$C$30</f>
        <v>Svobodová Dominika</v>
      </c>
      <c r="M15" s="120">
        <f>Bodování!$F$30</f>
        <v>1237</v>
      </c>
      <c r="N15" s="164" t="str">
        <f>Bodování!$C$31</f>
        <v>Matyášová Leona</v>
      </c>
      <c r="O15" s="120">
        <f>Bodování!$F$31</f>
        <v>1327</v>
      </c>
    </row>
    <row r="16" spans="1:15" ht="15.75">
      <c r="A16" s="157">
        <f t="shared" si="0"/>
        <v>8</v>
      </c>
      <c r="B16" s="172"/>
      <c r="C16" s="158" t="str">
        <f>Bodování!$C$12</f>
        <v>Gymnázium Bystřice n. P.</v>
      </c>
      <c r="D16" s="159" t="str">
        <f>Bodování!$E$12</f>
        <v>VYS</v>
      </c>
      <c r="E16" s="160">
        <f>Bodování!$F$12</f>
        <v>5232</v>
      </c>
      <c r="F16" s="164" t="str">
        <f>Bodování!$C$13</f>
        <v>Skoumalová Sabina</v>
      </c>
      <c r="G16" s="120">
        <f>Bodování!$F$13</f>
        <v>1325</v>
      </c>
      <c r="H16" s="164" t="str">
        <f>Bodování!$C$14</f>
        <v>Mifková Tereza</v>
      </c>
      <c r="I16" s="120">
        <f>Bodování!$F$14</f>
        <v>1556</v>
      </c>
      <c r="J16" s="164" t="str">
        <f>Bodování!$C$15</f>
        <v>Strašilová Ladislava</v>
      </c>
      <c r="K16" s="120">
        <f>Bodování!$F$15</f>
        <v>1092</v>
      </c>
      <c r="L16" s="164" t="str">
        <f>Bodování!$C$16</f>
        <v>Svobodová Andrea</v>
      </c>
      <c r="M16" s="120">
        <f>Bodování!$F$16</f>
        <v>1108</v>
      </c>
      <c r="N16" s="164" t="str">
        <f>Bodování!$C$17</f>
        <v>Svobodová Sára</v>
      </c>
      <c r="O16" s="120">
        <f>Bodování!$F$17</f>
        <v>1243</v>
      </c>
    </row>
    <row r="17" spans="1:15" ht="15.75">
      <c r="A17" s="157">
        <f t="shared" si="0"/>
        <v>9</v>
      </c>
      <c r="B17" s="173"/>
      <c r="C17" s="173" t="str">
        <f>Bodování!C89</f>
        <v>1. ZŠ Nové Město na Mor.</v>
      </c>
      <c r="D17" s="173" t="str">
        <f>Bodování!$E$89</f>
        <v>VYS</v>
      </c>
      <c r="E17" s="176">
        <f>Bodování!F89</f>
        <v>4931</v>
      </c>
      <c r="F17" s="174" t="str">
        <f>Bodování!C90</f>
        <v>Havlíková Nikola</v>
      </c>
      <c r="G17" s="175">
        <f>Bodování!F90</f>
        <v>1542</v>
      </c>
      <c r="H17" s="107" t="str">
        <f>Bodování!C91</f>
        <v>Puškášová Gabriela</v>
      </c>
      <c r="I17" s="175">
        <f>Bodování!F91</f>
        <v>922</v>
      </c>
      <c r="J17" s="107" t="str">
        <f>Bodování!C92</f>
        <v>Dvořáková Magda</v>
      </c>
      <c r="K17" s="175">
        <f>Bodování!F92</f>
        <v>1310</v>
      </c>
      <c r="L17" s="107" t="str">
        <f>Bodování!C93</f>
        <v>Rousová Aneta</v>
      </c>
      <c r="M17" s="175">
        <f>Bodování!F93</f>
        <v>1042</v>
      </c>
      <c r="N17" s="107" t="str">
        <f>Bodování!C94</f>
        <v>Mojžíšová Simona</v>
      </c>
      <c r="O17" s="175">
        <f>Bodování!F94</f>
        <v>1037</v>
      </c>
    </row>
    <row r="18" spans="1:15" ht="15.75">
      <c r="A18" s="157">
        <f t="shared" si="0"/>
        <v>10</v>
      </c>
      <c r="B18" s="157"/>
      <c r="C18" s="158" t="str">
        <f>Bodování!$C$5</f>
        <v>ZŠ Švermova Žďár n. S.</v>
      </c>
      <c r="D18" s="159" t="str">
        <f>Bodování!$E$5</f>
        <v>VYS</v>
      </c>
      <c r="E18" s="160">
        <f>Bodování!$F$5</f>
        <v>4749</v>
      </c>
      <c r="F18" s="164" t="str">
        <f>Bodování!$C$6</f>
        <v>Neuerová Nikola</v>
      </c>
      <c r="G18" s="120">
        <f>Bodování!$F$6</f>
        <v>1032</v>
      </c>
      <c r="H18" s="164" t="str">
        <f>Bodování!$C$7</f>
        <v>Vránová Iva</v>
      </c>
      <c r="I18" s="120">
        <f>Bodování!$F$7</f>
        <v>1259</v>
      </c>
      <c r="J18" s="164" t="str">
        <f>Bodování!$C$8</f>
        <v>Kubíková Natálie</v>
      </c>
      <c r="K18" s="120">
        <f>Bodování!$F$8</f>
        <v>1213</v>
      </c>
      <c r="L18" s="164" t="str">
        <f>Bodování!$C$9</f>
        <v>Štorková Jana</v>
      </c>
      <c r="M18" s="120">
        <f>Bodování!$F$9</f>
        <v>1245</v>
      </c>
      <c r="N18" s="164">
        <f>Bodování!$C$10</f>
        <v>0</v>
      </c>
      <c r="O18" s="120">
        <f>Bodování!$F$10</f>
        <v>0</v>
      </c>
    </row>
    <row r="19" spans="1:15" ht="15.75">
      <c r="A19" s="157">
        <f t="shared" si="0"/>
        <v>11</v>
      </c>
      <c r="B19" s="157"/>
      <c r="C19" s="158" t="str">
        <f>Bodování!$C$40</f>
        <v>ZŠ T.G.M. Bystřice n. P.</v>
      </c>
      <c r="D19" s="159" t="str">
        <f>Bodování!$E$40</f>
        <v>VYS</v>
      </c>
      <c r="E19" s="160">
        <f>Bodování!$F$40</f>
        <v>4562</v>
      </c>
      <c r="F19" s="164" t="str">
        <f>Bodování!$C$41</f>
        <v>Dufková Petra</v>
      </c>
      <c r="G19" s="120">
        <f>Bodování!$F$41</f>
        <v>1156</v>
      </c>
      <c r="H19" s="164" t="str">
        <f>Bodování!$C$42</f>
        <v>Vičarová Eliška</v>
      </c>
      <c r="I19" s="120">
        <f>Bodování!$F$42</f>
        <v>918</v>
      </c>
      <c r="J19" s="164" t="str">
        <f>Bodování!$C$43</f>
        <v>Podsedníková Zita</v>
      </c>
      <c r="K19" s="120">
        <f>Bodování!$F$43</f>
        <v>1120</v>
      </c>
      <c r="L19" s="164" t="str">
        <f>Bodování!$C$44</f>
        <v>Dvořáková Kristin</v>
      </c>
      <c r="M19" s="120">
        <f>Bodování!$F$44</f>
        <v>1368</v>
      </c>
      <c r="N19" s="164">
        <f>Bodování!$C$45</f>
        <v>0</v>
      </c>
      <c r="O19" s="120">
        <f>Bodování!$F$45</f>
        <v>0</v>
      </c>
    </row>
    <row r="20" spans="1:15" ht="15.75">
      <c r="A20" s="157">
        <f t="shared" si="0"/>
        <v>12</v>
      </c>
      <c r="B20" s="173"/>
      <c r="C20" s="173" t="str">
        <f>Bodování!C82</f>
        <v>Gymnázium Žďár n. S.</v>
      </c>
      <c r="D20" s="173" t="str">
        <f>Bodování!$E$82</f>
        <v>VYS</v>
      </c>
      <c r="E20" s="172">
        <f>Bodování!F82</f>
        <v>4510</v>
      </c>
      <c r="F20" s="107" t="str">
        <f>Bodování!C83</f>
        <v>Matýsková Soňa</v>
      </c>
      <c r="G20" s="175">
        <f>Bodování!F83</f>
        <v>1118</v>
      </c>
      <c r="H20" s="107" t="str">
        <f>Bodování!C84</f>
        <v>Gruntová Berenika</v>
      </c>
      <c r="I20" s="175">
        <f>Bodování!F84</f>
        <v>1111</v>
      </c>
      <c r="J20" s="107" t="str">
        <f>Bodování!C85</f>
        <v>Hájková Tereza</v>
      </c>
      <c r="K20" s="175">
        <f>Bodování!F85</f>
        <v>905</v>
      </c>
      <c r="L20" s="107" t="str">
        <f>Bodování!C86</f>
        <v>Nováková Alžběta</v>
      </c>
      <c r="M20" s="175">
        <f>Bodování!F86</f>
        <v>1127</v>
      </c>
      <c r="N20" s="107" t="str">
        <f>Bodování!C87</f>
        <v>Peňázová Vendula</v>
      </c>
      <c r="O20" s="175">
        <f>Bodování!F87</f>
        <v>1154</v>
      </c>
    </row>
    <row r="21" spans="1:15" ht="15.75">
      <c r="A21" s="157">
        <f t="shared" si="0"/>
        <v>13</v>
      </c>
      <c r="B21" s="157"/>
      <c r="C21" s="158" t="str">
        <f>Bodování!$C$54</f>
        <v>ZŠ Nádražní Bystřice n. P.</v>
      </c>
      <c r="D21" s="159" t="str">
        <f>Bodování!$E$54</f>
        <v>VYS</v>
      </c>
      <c r="E21" s="160">
        <f>Bodování!$F$54</f>
        <v>3839</v>
      </c>
      <c r="F21" s="164" t="str">
        <f>Bodování!$C$55</f>
        <v>Šimonová Leontina</v>
      </c>
      <c r="G21" s="120">
        <f>Bodování!$F$55</f>
        <v>1033</v>
      </c>
      <c r="H21" s="164" t="str">
        <f>Bodování!$C$56</f>
        <v>Šejnohová Nikola</v>
      </c>
      <c r="I21" s="120">
        <f>Bodování!$F$56</f>
        <v>780</v>
      </c>
      <c r="J21" s="164" t="str">
        <f>Bodování!$C$57</f>
        <v>Pokorná Helena</v>
      </c>
      <c r="K21" s="120">
        <f>Bodování!$F$57</f>
        <v>715</v>
      </c>
      <c r="L21" s="164" t="str">
        <f>Bodování!$C$58</f>
        <v>Hanáková Klára</v>
      </c>
      <c r="M21" s="120">
        <f>Bodování!$F$58</f>
        <v>1140</v>
      </c>
      <c r="N21" s="164" t="str">
        <f>Bodování!$C$59</f>
        <v>Bauerová Aneta</v>
      </c>
      <c r="O21" s="120">
        <f>Bodování!$F$59</f>
        <v>886</v>
      </c>
    </row>
    <row r="22" spans="1:15" ht="15.75" hidden="1">
      <c r="A22" s="157">
        <f t="shared" si="0"/>
        <v>14</v>
      </c>
      <c r="B22" s="173"/>
      <c r="C22" s="173" t="str">
        <f>Bodování!C96</f>
        <v>XXX</v>
      </c>
      <c r="D22" s="173" t="str">
        <f>Bodování!$E$96</f>
        <v>VYS</v>
      </c>
      <c r="E22" s="176">
        <f>Bodování!F96</f>
        <v>0</v>
      </c>
      <c r="F22" s="174" t="str">
        <f>Bodování!C97</f>
        <v>A06</v>
      </c>
      <c r="G22" s="175">
        <f>Bodování!F97</f>
        <v>0</v>
      </c>
      <c r="H22" s="107" t="str">
        <f>Bodování!C98</f>
        <v>A07</v>
      </c>
      <c r="I22" s="175">
        <f>Bodování!F98</f>
        <v>0</v>
      </c>
      <c r="J22" s="107" t="str">
        <f>Bodování!C99</f>
        <v>A08</v>
      </c>
      <c r="K22" s="175">
        <f>Bodování!F99</f>
        <v>0</v>
      </c>
      <c r="L22" s="107" t="str">
        <f>Bodování!C100</f>
        <v>A09</v>
      </c>
      <c r="M22" s="175">
        <f>Bodování!F100</f>
        <v>0</v>
      </c>
      <c r="N22" s="107" t="str">
        <f>Bodování!C101</f>
        <v>A10</v>
      </c>
      <c r="O22" s="175">
        <f>Bodování!F101</f>
        <v>0</v>
      </c>
    </row>
    <row r="23" spans="1:15" ht="15.75" hidden="1">
      <c r="A23" s="157">
        <f t="shared" si="0"/>
        <v>14</v>
      </c>
      <c r="B23" s="173"/>
      <c r="C23" s="173" t="str">
        <f>Bodování!C103</f>
        <v>XXX</v>
      </c>
      <c r="D23" s="173" t="str">
        <f>Bodování!$E$103</f>
        <v>VYS</v>
      </c>
      <c r="E23" s="176">
        <f>Bodování!F103</f>
        <v>0</v>
      </c>
      <c r="F23" s="174" t="str">
        <f>Bodování!C104</f>
        <v>A06</v>
      </c>
      <c r="G23" s="175">
        <f>Bodování!F104</f>
        <v>0</v>
      </c>
      <c r="H23" s="174" t="str">
        <f>Bodování!C105</f>
        <v>A07</v>
      </c>
      <c r="I23" s="175">
        <f>Bodování!F105</f>
        <v>0</v>
      </c>
      <c r="J23" s="107" t="str">
        <f>Bodování!C106</f>
        <v>A08</v>
      </c>
      <c r="K23" s="175">
        <f>Bodování!F106</f>
        <v>0</v>
      </c>
      <c r="L23" s="107" t="str">
        <f>Bodování!C107</f>
        <v>A09</v>
      </c>
      <c r="M23" s="175">
        <f>Bodování!F107</f>
        <v>0</v>
      </c>
      <c r="N23" s="107" t="str">
        <f>Bodování!C108</f>
        <v>A10</v>
      </c>
      <c r="O23" s="175">
        <f>Bodování!F108</f>
        <v>0</v>
      </c>
    </row>
  </sheetData>
  <sheetProtection/>
  <printOptions/>
  <pageMargins left="0.2" right="0.26" top="0.984251969" bottom="0.984251969" header="0.4921259845" footer="0.492125984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5:L81"/>
  <sheetViews>
    <sheetView zoomScalePageLayoutView="0" workbookViewId="0" topLeftCell="A19">
      <selection activeCell="B47" sqref="B47"/>
    </sheetView>
  </sheetViews>
  <sheetFormatPr defaultColWidth="9.140625" defaultRowHeight="12.75"/>
  <cols>
    <col min="1" max="1" width="7.140625" style="28" customWidth="1"/>
    <col min="2" max="2" width="22.7109375" style="0" customWidth="1"/>
    <col min="3" max="3" width="25.140625" style="0" customWidth="1"/>
    <col min="4" max="4" width="9.28125" style="28" bestFit="1" customWidth="1"/>
    <col min="5" max="5" width="9.28125" style="0" bestFit="1" customWidth="1"/>
    <col min="6" max="6" width="2.140625" style="0" bestFit="1" customWidth="1"/>
    <col min="7" max="7" width="1.1484375" style="0" customWidth="1"/>
    <col min="8" max="8" width="6.421875" style="0" customWidth="1"/>
    <col min="9" max="11" width="9.28125" style="28" bestFit="1" customWidth="1"/>
    <col min="12" max="12" width="9.140625" style="123" customWidth="1"/>
  </cols>
  <sheetData>
    <row r="5" spans="1:2" ht="12.75">
      <c r="A5" s="213"/>
      <c r="B5" s="4" t="s">
        <v>117</v>
      </c>
    </row>
    <row r="6" spans="1:12" ht="12.75">
      <c r="A6" s="213"/>
      <c r="B6" s="107" t="s">
        <v>17</v>
      </c>
      <c r="C6" s="107" t="s">
        <v>18</v>
      </c>
      <c r="D6" s="104" t="s">
        <v>19</v>
      </c>
      <c r="E6" s="104" t="s">
        <v>20</v>
      </c>
      <c r="F6" s="218" t="s">
        <v>21</v>
      </c>
      <c r="G6" s="218"/>
      <c r="H6" s="219"/>
      <c r="I6" s="104" t="s">
        <v>10</v>
      </c>
      <c r="J6" s="104" t="s">
        <v>22</v>
      </c>
      <c r="K6" s="104" t="s">
        <v>23</v>
      </c>
      <c r="L6" s="124" t="s">
        <v>40</v>
      </c>
    </row>
    <row r="7" spans="1:12" ht="12.75">
      <c r="A7" s="213"/>
      <c r="B7" s="106" t="str">
        <f>Bodování!$C71</f>
        <v>Rašovská Zuzana</v>
      </c>
      <c r="C7" s="105" t="str">
        <f>Bodování!$C$68</f>
        <v>Gymnázium Velké Meziříčí</v>
      </c>
      <c r="D7" s="109">
        <f>Bodování!$F71</f>
        <v>1918</v>
      </c>
      <c r="E7" s="116">
        <f>Bodování!H71</f>
        <v>8.3</v>
      </c>
      <c r="F7" s="19">
        <f>Bodování!$J71</f>
        <v>1</v>
      </c>
      <c r="G7" s="26" t="s">
        <v>24</v>
      </c>
      <c r="H7" s="27">
        <f>Bodování!$L71</f>
        <v>55.95</v>
      </c>
      <c r="I7" s="120">
        <f>Bodování!$N71</f>
        <v>0</v>
      </c>
      <c r="J7" s="120">
        <f>Bodování!$P71</f>
        <v>436</v>
      </c>
      <c r="K7" s="121">
        <f>Bodování!$R71</f>
        <v>32.5</v>
      </c>
      <c r="L7" s="124">
        <f aca="true" t="shared" si="0" ref="L7:L38">IF(D7=0,"NEV",(RANK(D7,$D$7:$D$81)))</f>
        <v>1</v>
      </c>
    </row>
    <row r="8" spans="1:12" ht="12.75">
      <c r="A8" s="213"/>
      <c r="B8" s="215" t="str">
        <f>Bodování!$C65</f>
        <v>Rosecká Lucie</v>
      </c>
      <c r="C8" s="105" t="str">
        <f>Bodování!$C$61</f>
        <v>2. ZŠ Žďár nad Sázavou</v>
      </c>
      <c r="D8" s="109">
        <f>Bodování!$F65</f>
        <v>1767</v>
      </c>
      <c r="E8" s="116">
        <f>Bodování!H65</f>
        <v>8.4</v>
      </c>
      <c r="F8" s="114">
        <f>Bodování!$J65</f>
        <v>1</v>
      </c>
      <c r="G8" s="113" t="s">
        <v>24</v>
      </c>
      <c r="H8" s="118">
        <f>Bodování!$L65</f>
        <v>57.42</v>
      </c>
      <c r="I8" s="120">
        <f>Bodování!$N65</f>
        <v>0</v>
      </c>
      <c r="J8" s="120">
        <f>Bodování!$P65</f>
        <v>438</v>
      </c>
      <c r="K8" s="121">
        <f>Bodování!$R65</f>
        <v>23.5</v>
      </c>
      <c r="L8" s="124">
        <f t="shared" si="0"/>
        <v>2</v>
      </c>
    </row>
    <row r="9" spans="1:12" ht="12.75">
      <c r="A9" s="213"/>
      <c r="B9" s="106" t="str">
        <f>Bodování!$C52</f>
        <v>Pavlidu Sára</v>
      </c>
      <c r="C9" s="105" t="str">
        <f>Bodování!$C$47</f>
        <v>ZŠ Školní Velké Meziříčí</v>
      </c>
      <c r="D9" s="109">
        <f>Bodování!$F52</f>
        <v>1742</v>
      </c>
      <c r="E9" s="116">
        <f>Bodování!H52</f>
        <v>8.2</v>
      </c>
      <c r="F9" s="19">
        <f>Bodování!$J52</f>
        <v>1</v>
      </c>
      <c r="G9" s="26" t="s">
        <v>24</v>
      </c>
      <c r="H9" s="27">
        <f>Bodování!$L52</f>
        <v>59.86</v>
      </c>
      <c r="I9" s="120">
        <f>Bodování!$N52</f>
        <v>0</v>
      </c>
      <c r="J9" s="120">
        <f>Bodování!$P52</f>
        <v>431</v>
      </c>
      <c r="K9" s="121">
        <f>Bodování!$R52</f>
        <v>21</v>
      </c>
      <c r="L9" s="124">
        <f t="shared" si="0"/>
        <v>3</v>
      </c>
    </row>
    <row r="10" spans="1:12" ht="12.75">
      <c r="A10" s="213"/>
      <c r="B10" s="106" t="str">
        <f>Bodování!$C73</f>
        <v>Podrábská Věra</v>
      </c>
      <c r="C10" s="105" t="str">
        <f>Bodování!$C$68</f>
        <v>Gymnázium Velké Meziříčí</v>
      </c>
      <c r="D10" s="109">
        <f>Bodování!$F73</f>
        <v>1712</v>
      </c>
      <c r="E10" s="116">
        <f>Bodování!H73</f>
        <v>8.7</v>
      </c>
      <c r="F10" s="114">
        <f>Bodování!$J73</f>
        <v>1</v>
      </c>
      <c r="G10" s="113" t="s">
        <v>24</v>
      </c>
      <c r="H10" s="118">
        <f>Bodování!$L73</f>
        <v>56.51</v>
      </c>
      <c r="I10" s="120">
        <f>Bodování!$N73</f>
        <v>0</v>
      </c>
      <c r="J10" s="120">
        <f>Bodování!$P73</f>
        <v>428</v>
      </c>
      <c r="K10" s="121">
        <f>Bodování!$R73</f>
        <v>26.5</v>
      </c>
      <c r="L10" s="124">
        <f t="shared" si="0"/>
        <v>4</v>
      </c>
    </row>
    <row r="11" spans="1:12" ht="12.75">
      <c r="A11" s="213"/>
      <c r="B11" s="215" t="str">
        <f>Bodování!$C63</f>
        <v>Krejčí Lucie</v>
      </c>
      <c r="C11" s="105" t="str">
        <f>Bodování!$C$61</f>
        <v>2. ZŠ Žďár nad Sázavou</v>
      </c>
      <c r="D11" s="109">
        <f>Bodování!$F63</f>
        <v>1701</v>
      </c>
      <c r="E11" s="116">
        <f>Bodování!H63</f>
        <v>9</v>
      </c>
      <c r="F11" s="19">
        <f>Bodování!$J63</f>
        <v>1</v>
      </c>
      <c r="G11" s="26" t="s">
        <v>24</v>
      </c>
      <c r="H11" s="27">
        <f>Bodování!$L63</f>
        <v>56.09</v>
      </c>
      <c r="I11" s="120">
        <f>Bodování!$N63</f>
        <v>130</v>
      </c>
      <c r="J11" s="120">
        <f>Bodování!$P63</f>
        <v>0</v>
      </c>
      <c r="K11" s="121">
        <f>Bodování!$R63</f>
        <v>28.5</v>
      </c>
      <c r="L11" s="124">
        <f t="shared" si="0"/>
        <v>5</v>
      </c>
    </row>
    <row r="12" spans="1:12" ht="12.75">
      <c r="A12" s="213"/>
      <c r="B12" s="108" t="str">
        <f>Bodování!C76</f>
        <v>Hrubá Karolína</v>
      </c>
      <c r="C12" s="105" t="str">
        <f>Bodování!$C$75</f>
        <v>ZŠ Sokolovská V. Meziříčí</v>
      </c>
      <c r="D12" s="109">
        <f>Bodování!F76</f>
        <v>1666</v>
      </c>
      <c r="E12" s="117">
        <f>Bodování!H76</f>
        <v>9</v>
      </c>
      <c r="F12" s="115">
        <f>Bodování!J76</f>
        <v>2</v>
      </c>
      <c r="G12" s="113" t="s">
        <v>24</v>
      </c>
      <c r="H12" s="119">
        <f>Bodování!L76</f>
        <v>9.09</v>
      </c>
      <c r="I12" s="104">
        <f>Bodování!N76</f>
        <v>130</v>
      </c>
      <c r="J12" s="104">
        <f>Bodování!P76</f>
        <v>0</v>
      </c>
      <c r="K12" s="122">
        <f>Bodování!R76</f>
        <v>41</v>
      </c>
      <c r="L12" s="124">
        <f t="shared" si="0"/>
        <v>6</v>
      </c>
    </row>
    <row r="13" spans="1:12" ht="12.75">
      <c r="A13" s="213"/>
      <c r="B13" s="106" t="str">
        <f>Bodování!$C48</f>
        <v>Mašterová Eliška</v>
      </c>
      <c r="C13" s="105" t="str">
        <f>Bodování!$C$47</f>
        <v>ZŠ Školní Velké Meziříčí</v>
      </c>
      <c r="D13" s="109">
        <f>Bodování!$F48</f>
        <v>1635</v>
      </c>
      <c r="E13" s="116">
        <f>Bodování!H48</f>
        <v>8.8</v>
      </c>
      <c r="F13" s="19">
        <f>Bodování!$J48</f>
        <v>2</v>
      </c>
      <c r="G13" s="26" t="s">
        <v>24</v>
      </c>
      <c r="H13" s="27">
        <f>Bodování!$L48</f>
        <v>9.7</v>
      </c>
      <c r="I13" s="120">
        <f>Bodování!$N48</f>
        <v>130</v>
      </c>
      <c r="J13" s="120">
        <f>Bodování!$P48</f>
        <v>0</v>
      </c>
      <c r="K13" s="121">
        <f>Bodování!$R48</f>
        <v>35</v>
      </c>
      <c r="L13" s="124">
        <f t="shared" si="0"/>
        <v>7</v>
      </c>
    </row>
    <row r="14" spans="1:12" ht="12.75">
      <c r="A14" s="213"/>
      <c r="B14" s="215" t="str">
        <f>Bodování!$C62</f>
        <v>Flesarová Ema</v>
      </c>
      <c r="C14" s="105" t="str">
        <f>Bodování!$C$61</f>
        <v>2. ZŠ Žďár nad Sázavou</v>
      </c>
      <c r="D14" s="109">
        <f>Bodování!$F62</f>
        <v>1629</v>
      </c>
      <c r="E14" s="116">
        <f>Bodování!H62</f>
        <v>8.6</v>
      </c>
      <c r="F14" s="114">
        <f>Bodování!$J62</f>
        <v>2</v>
      </c>
      <c r="G14" s="113" t="s">
        <v>24</v>
      </c>
      <c r="H14" s="118">
        <f>Bodování!$L62</f>
        <v>9.98</v>
      </c>
      <c r="I14" s="120">
        <f>Bodování!$N62</f>
        <v>135</v>
      </c>
      <c r="J14" s="120">
        <f>Bodování!$P62</f>
        <v>0</v>
      </c>
      <c r="K14" s="121">
        <f>Bodování!$R62</f>
        <v>26</v>
      </c>
      <c r="L14" s="124">
        <f t="shared" si="0"/>
        <v>8</v>
      </c>
    </row>
    <row r="15" spans="1:12" ht="12.75">
      <c r="A15" s="213"/>
      <c r="B15" s="106" t="str">
        <f>Bodování!$C70</f>
        <v>Pospíšilová Klára</v>
      </c>
      <c r="C15" s="105" t="str">
        <f>Bodování!$C$68</f>
        <v>Gymnázium Velké Meziříčí</v>
      </c>
      <c r="D15" s="109">
        <f>Bodování!$F70</f>
        <v>1599</v>
      </c>
      <c r="E15" s="116">
        <f>Bodování!H70</f>
        <v>9</v>
      </c>
      <c r="F15" s="19">
        <f>Bodování!$J70</f>
        <v>2</v>
      </c>
      <c r="G15" s="26" t="s">
        <v>24</v>
      </c>
      <c r="H15" s="27">
        <f>Bodování!$L70</f>
        <v>25.7</v>
      </c>
      <c r="I15" s="120">
        <f>Bodování!$N70</f>
        <v>135</v>
      </c>
      <c r="J15" s="120">
        <f>Bodování!$P70</f>
        <v>0</v>
      </c>
      <c r="K15" s="121">
        <f>Bodování!$R70</f>
        <v>46.5</v>
      </c>
      <c r="L15" s="124">
        <f t="shared" si="0"/>
        <v>9</v>
      </c>
    </row>
    <row r="16" spans="1:12" ht="12.75">
      <c r="A16" s="213"/>
      <c r="B16" s="106" t="str">
        <f>Bodování!$C14</f>
        <v>Mifková Tereza</v>
      </c>
      <c r="C16" s="105" t="str">
        <f>Bodování!$C$12</f>
        <v>Gymnázium Bystřice n. P.</v>
      </c>
      <c r="D16" s="109">
        <f>Bodování!$F14</f>
        <v>1556</v>
      </c>
      <c r="E16" s="116">
        <f>Bodování!H14</f>
        <v>9.2</v>
      </c>
      <c r="F16" s="114">
        <f>Bodování!$J14</f>
        <v>2</v>
      </c>
      <c r="G16" s="113" t="s">
        <v>24</v>
      </c>
      <c r="H16" s="118">
        <f>Bodování!$L14</f>
        <v>7.22</v>
      </c>
      <c r="I16" s="120">
        <f>Bodování!$N14</f>
        <v>125</v>
      </c>
      <c r="J16" s="120">
        <f>Bodování!$P14</f>
        <v>0</v>
      </c>
      <c r="K16" s="121">
        <f>Bodování!$R14</f>
        <v>38</v>
      </c>
      <c r="L16" s="124">
        <f t="shared" si="0"/>
        <v>10</v>
      </c>
    </row>
    <row r="17" spans="1:12" ht="12.75">
      <c r="A17" s="213"/>
      <c r="B17" s="108" t="str">
        <f>Bodování!C90</f>
        <v>Havlíková Nikola</v>
      </c>
      <c r="C17" s="108" t="str">
        <f>Bodování!$C$89</f>
        <v>1. ZŠ Nové Město na Mor.</v>
      </c>
      <c r="D17" s="110">
        <f>Bodování!F90</f>
        <v>1542</v>
      </c>
      <c r="E17" s="117">
        <f>Bodování!H90</f>
        <v>8.6</v>
      </c>
      <c r="F17" s="210">
        <f>Bodování!J90</f>
        <v>2</v>
      </c>
      <c r="G17" s="26" t="s">
        <v>24</v>
      </c>
      <c r="H17" s="170">
        <f>Bodování!L90</f>
        <v>3.8</v>
      </c>
      <c r="I17" s="120">
        <f>Bodování!$N90</f>
        <v>125</v>
      </c>
      <c r="J17" s="120">
        <f>Bodování!$P90</f>
        <v>0</v>
      </c>
      <c r="K17" s="121">
        <f>Bodování!$R90</f>
        <v>20</v>
      </c>
      <c r="L17" s="124">
        <f t="shared" si="0"/>
        <v>11</v>
      </c>
    </row>
    <row r="18" spans="1:12" ht="12.75">
      <c r="A18" s="213"/>
      <c r="B18" s="106" t="str">
        <f>Bodování!$C69</f>
        <v>Marková Kateřina</v>
      </c>
      <c r="C18" s="105" t="str">
        <f>Bodování!$C$68</f>
        <v>Gymnázium Velké Meziříčí</v>
      </c>
      <c r="D18" s="109">
        <f>Bodování!$F69</f>
        <v>1486</v>
      </c>
      <c r="E18" s="116">
        <f>Bodování!H69</f>
        <v>9.1</v>
      </c>
      <c r="F18" s="114">
        <f>Bodování!$J69</f>
        <v>2</v>
      </c>
      <c r="G18" s="113" t="s">
        <v>24</v>
      </c>
      <c r="H18" s="118">
        <f>Bodování!$L69</f>
        <v>22.09</v>
      </c>
      <c r="I18" s="120">
        <f>Bodování!$N69</f>
        <v>130</v>
      </c>
      <c r="J18" s="120">
        <f>Bodování!$P69</f>
        <v>0</v>
      </c>
      <c r="K18" s="121">
        <f>Bodování!$R69</f>
        <v>40.5</v>
      </c>
      <c r="L18" s="124">
        <f t="shared" si="0"/>
        <v>12</v>
      </c>
    </row>
    <row r="19" spans="1:12" ht="12.75">
      <c r="A19" s="213"/>
      <c r="B19" s="215" t="str">
        <f>Bodování!$C64</f>
        <v>Poulová Anna</v>
      </c>
      <c r="C19" s="105" t="str">
        <f>Bodování!$C$61</f>
        <v>2. ZŠ Žďár nad Sázavou</v>
      </c>
      <c r="D19" s="109">
        <f>Bodování!$F64</f>
        <v>1472</v>
      </c>
      <c r="E19" s="116">
        <f>Bodování!H64</f>
        <v>9.1</v>
      </c>
      <c r="F19" s="114">
        <f>Bodování!$J64</f>
        <v>2</v>
      </c>
      <c r="G19" s="113" t="s">
        <v>24</v>
      </c>
      <c r="H19" s="118">
        <f>Bodování!$L64</f>
        <v>3.32</v>
      </c>
      <c r="I19" s="120">
        <f>Bodování!$N64</f>
        <v>0</v>
      </c>
      <c r="J19" s="120">
        <f>Bodování!$P64</f>
        <v>404</v>
      </c>
      <c r="K19" s="121">
        <f>Bodování!$R64</f>
        <v>28</v>
      </c>
      <c r="L19" s="124">
        <f t="shared" si="0"/>
        <v>13</v>
      </c>
    </row>
    <row r="20" spans="1:12" ht="12.75">
      <c r="A20" s="213"/>
      <c r="B20" s="108" t="str">
        <f>Bodování!C80</f>
        <v>Havlátová Zuzana</v>
      </c>
      <c r="C20" s="105" t="str">
        <f>Bodování!$C$75</f>
        <v>ZŠ Sokolovská V. Meziříčí</v>
      </c>
      <c r="D20" s="109">
        <f>Bodování!F80</f>
        <v>1469</v>
      </c>
      <c r="E20" s="117">
        <f>Bodování!H80</f>
        <v>8.9</v>
      </c>
      <c r="F20" s="115">
        <f>Bodování!J80</f>
        <v>2</v>
      </c>
      <c r="G20" s="113" t="s">
        <v>24</v>
      </c>
      <c r="H20" s="119">
        <f>Bodování!L80</f>
        <v>4.95</v>
      </c>
      <c r="I20" s="104">
        <f>Bodování!N80</f>
        <v>0</v>
      </c>
      <c r="J20" s="104">
        <f>Bodování!P80</f>
        <v>396</v>
      </c>
      <c r="K20" s="122">
        <f>Bodování!R80</f>
        <v>27</v>
      </c>
      <c r="L20" s="124">
        <f t="shared" si="0"/>
        <v>14</v>
      </c>
    </row>
    <row r="21" spans="1:12" ht="12.75">
      <c r="A21" s="213"/>
      <c r="B21" s="106" t="str">
        <f>Bodování!$C27</f>
        <v>Ventrubová Aneta</v>
      </c>
      <c r="C21" s="105" t="str">
        <f>Bodování!$C$26</f>
        <v>ZŠ Velká Bíteš</v>
      </c>
      <c r="D21" s="109">
        <f>Bodování!$F27</f>
        <v>1465</v>
      </c>
      <c r="E21" s="116">
        <f>Bodování!H27</f>
        <v>8.7</v>
      </c>
      <c r="F21" s="114">
        <f>Bodování!$J27</f>
        <v>2</v>
      </c>
      <c r="G21" s="113" t="s">
        <v>24</v>
      </c>
      <c r="H21" s="118">
        <f>Bodování!$L27</f>
        <v>12.92</v>
      </c>
      <c r="I21" s="120">
        <f>Bodování!$N27</f>
        <v>125</v>
      </c>
      <c r="J21" s="120">
        <f>Bodování!$P27</f>
        <v>0</v>
      </c>
      <c r="K21" s="121">
        <f>Bodování!$R27</f>
        <v>26</v>
      </c>
      <c r="L21" s="124">
        <f t="shared" si="0"/>
        <v>15</v>
      </c>
    </row>
    <row r="22" spans="1:12" ht="12.75">
      <c r="A22" s="213"/>
      <c r="B22" s="108" t="str">
        <f>Bodování!C77</f>
        <v>Kuřátková Klára</v>
      </c>
      <c r="C22" s="105" t="str">
        <f>Bodování!$C$75</f>
        <v>ZŠ Sokolovská V. Meziříčí</v>
      </c>
      <c r="D22" s="109">
        <f>Bodování!F77</f>
        <v>1438</v>
      </c>
      <c r="E22" s="117">
        <f>Bodování!H77</f>
        <v>9.3</v>
      </c>
      <c r="F22" s="22">
        <f>Bodování!J77</f>
        <v>2</v>
      </c>
      <c r="G22" s="26" t="s">
        <v>24</v>
      </c>
      <c r="H22" s="170">
        <f>Bodování!L77</f>
        <v>13.8</v>
      </c>
      <c r="I22" s="104">
        <f>Bodování!N77</f>
        <v>125</v>
      </c>
      <c r="J22" s="104">
        <f>Bodování!P77</f>
        <v>0</v>
      </c>
      <c r="K22" s="122">
        <f>Bodování!R77</f>
        <v>37</v>
      </c>
      <c r="L22" s="124">
        <f t="shared" si="0"/>
        <v>16</v>
      </c>
    </row>
    <row r="23" spans="1:12" ht="12.75">
      <c r="A23" s="213"/>
      <c r="B23" s="106" t="str">
        <f>Bodování!$C38</f>
        <v>Mašková Kateřina</v>
      </c>
      <c r="C23" s="105" t="str">
        <f>Bodování!$C$33</f>
        <v>ZŠ Oslavická V. Meziříčí</v>
      </c>
      <c r="D23" s="109">
        <f>Bodování!$F38</f>
        <v>1430</v>
      </c>
      <c r="E23" s="116">
        <f>Bodování!H38</f>
        <v>8.7</v>
      </c>
      <c r="F23" s="114">
        <f>Bodování!$J38</f>
        <v>2</v>
      </c>
      <c r="G23" s="113" t="s">
        <v>24</v>
      </c>
      <c r="H23" s="118">
        <f>Bodování!$L38</f>
        <v>6.01</v>
      </c>
      <c r="I23" s="120">
        <f>Bodování!$N38</f>
        <v>0</v>
      </c>
      <c r="J23" s="120">
        <f>Bodování!$P38</f>
        <v>350</v>
      </c>
      <c r="K23" s="121">
        <f>Bodování!$R38</f>
        <v>29</v>
      </c>
      <c r="L23" s="124">
        <f t="shared" si="0"/>
        <v>17</v>
      </c>
    </row>
    <row r="24" spans="1:12" ht="12.75">
      <c r="A24" s="213"/>
      <c r="B24" s="106" t="str">
        <f>Bodování!$C35</f>
        <v>Jamshidogholdori Selin</v>
      </c>
      <c r="C24" s="105" t="str">
        <f>Bodování!$C$33</f>
        <v>ZŠ Oslavická V. Meziříčí</v>
      </c>
      <c r="D24" s="109">
        <f>Bodování!$F35</f>
        <v>1428</v>
      </c>
      <c r="E24" s="116">
        <f>Bodování!H35</f>
        <v>8.7</v>
      </c>
      <c r="F24" s="19">
        <f>Bodování!$J35</f>
        <v>2</v>
      </c>
      <c r="G24" s="26" t="s">
        <v>24</v>
      </c>
      <c r="H24" s="27">
        <f>Bodování!$L35</f>
        <v>11.01</v>
      </c>
      <c r="I24" s="120">
        <f>Bodování!$N35</f>
        <v>105</v>
      </c>
      <c r="J24" s="120">
        <f>Bodování!$P35</f>
        <v>0</v>
      </c>
      <c r="K24" s="121">
        <f>Bodování!$R35</f>
        <v>36</v>
      </c>
      <c r="L24" s="124">
        <f t="shared" si="0"/>
        <v>18</v>
      </c>
    </row>
    <row r="25" spans="1:12" ht="12.75">
      <c r="A25" s="213"/>
      <c r="B25" s="106" t="str">
        <f>Bodování!$C72</f>
        <v>Bajerová Adéla</v>
      </c>
      <c r="C25" s="105" t="str">
        <f>Bodování!$C$68</f>
        <v>Gymnázium Velké Meziříčí</v>
      </c>
      <c r="D25" s="109">
        <f>Bodování!$F72</f>
        <v>1428</v>
      </c>
      <c r="E25" s="116">
        <f>Bodování!H72</f>
        <v>9.2</v>
      </c>
      <c r="F25" s="114">
        <f>Bodování!$J72</f>
        <v>2</v>
      </c>
      <c r="G25" s="113" t="s">
        <v>24</v>
      </c>
      <c r="H25" s="118">
        <f>Bodování!$L72</f>
        <v>9.09</v>
      </c>
      <c r="I25" s="120">
        <f>Bodování!$N72</f>
        <v>0</v>
      </c>
      <c r="J25" s="120">
        <f>Bodování!$P72</f>
        <v>401</v>
      </c>
      <c r="K25" s="121">
        <f>Bodování!$R72</f>
        <v>33.5</v>
      </c>
      <c r="L25" s="124">
        <f t="shared" si="0"/>
        <v>18</v>
      </c>
    </row>
    <row r="26" spans="1:12" ht="12.75">
      <c r="A26" s="213"/>
      <c r="B26" s="106" t="str">
        <f>Bodování!$C20</f>
        <v>Lírová Eliška</v>
      </c>
      <c r="C26" s="105" t="str">
        <f>Bodování!$C$19</f>
        <v>ZŠ Měřín</v>
      </c>
      <c r="D26" s="109">
        <f>Bodování!$F20</f>
        <v>1427</v>
      </c>
      <c r="E26" s="116">
        <f>Bodování!H20</f>
        <v>9.1</v>
      </c>
      <c r="F26" s="169">
        <f>Bodování!$J20</f>
        <v>2</v>
      </c>
      <c r="G26" s="26" t="s">
        <v>24</v>
      </c>
      <c r="H26" s="171">
        <f>Bodování!$L20</f>
        <v>14.61</v>
      </c>
      <c r="I26" s="120">
        <f>Bodování!$N20</f>
        <v>125</v>
      </c>
      <c r="J26" s="120">
        <f>Bodování!$P20</f>
        <v>0</v>
      </c>
      <c r="K26" s="121">
        <f>Bodování!$R20</f>
        <v>33</v>
      </c>
      <c r="L26" s="124">
        <f t="shared" si="0"/>
        <v>20</v>
      </c>
    </row>
    <row r="27" spans="1:12" ht="12.75">
      <c r="A27" s="213"/>
      <c r="B27" s="106" t="str">
        <f>Bodování!$C37</f>
        <v>Halasová Klára</v>
      </c>
      <c r="C27" s="105" t="str">
        <f>Bodování!$C$33</f>
        <v>ZŠ Oslavická V. Meziříčí</v>
      </c>
      <c r="D27" s="109">
        <f>Bodování!$F37</f>
        <v>1406</v>
      </c>
      <c r="E27" s="116">
        <f>Bodování!H37</f>
        <v>9.4</v>
      </c>
      <c r="F27" s="114">
        <f>Bodování!$J37</f>
        <v>2</v>
      </c>
      <c r="G27" s="113" t="s">
        <v>24</v>
      </c>
      <c r="H27" s="118">
        <f>Bodování!$L37</f>
        <v>9.86</v>
      </c>
      <c r="I27" s="120">
        <f>Bodování!$N37</f>
        <v>0</v>
      </c>
      <c r="J27" s="120">
        <f>Bodování!$P37</f>
        <v>397</v>
      </c>
      <c r="K27" s="121">
        <f>Bodování!$R37</f>
        <v>37</v>
      </c>
      <c r="L27" s="124">
        <f t="shared" si="0"/>
        <v>21</v>
      </c>
    </row>
    <row r="28" spans="1:12" ht="12.75">
      <c r="A28" s="213"/>
      <c r="B28" s="106" t="str">
        <f>Bodování!$C23</f>
        <v>Krčálová Hana</v>
      </c>
      <c r="C28" s="105" t="str">
        <f>Bodování!$C$19</f>
        <v>ZŠ Měřín</v>
      </c>
      <c r="D28" s="109">
        <f>Bodování!$F23</f>
        <v>1396</v>
      </c>
      <c r="E28" s="116">
        <f>Bodování!H23</f>
        <v>9.3</v>
      </c>
      <c r="F28" s="19">
        <f>Bodování!$J23</f>
        <v>2</v>
      </c>
      <c r="G28" s="26" t="s">
        <v>24</v>
      </c>
      <c r="H28" s="27">
        <f>Bodování!$L23</f>
        <v>10.45</v>
      </c>
      <c r="I28" s="120">
        <f>Bodování!$N23</f>
        <v>0</v>
      </c>
      <c r="J28" s="120">
        <f>Bodování!$P23</f>
        <v>386</v>
      </c>
      <c r="K28" s="121">
        <f>Bodování!$R23</f>
        <v>37</v>
      </c>
      <c r="L28" s="124">
        <f t="shared" si="0"/>
        <v>22</v>
      </c>
    </row>
    <row r="29" spans="1:12" ht="12.75">
      <c r="A29" s="213"/>
      <c r="B29" s="106" t="str">
        <f>Bodování!$C44</f>
        <v>Dvořáková Kristin</v>
      </c>
      <c r="C29" s="105" t="str">
        <f>Bodování!$C$40</f>
        <v>ZŠ T.G.M. Bystřice n. P.</v>
      </c>
      <c r="D29" s="109">
        <f>Bodování!$F44</f>
        <v>1368</v>
      </c>
      <c r="E29" s="116">
        <f>Bodování!H44</f>
        <v>9</v>
      </c>
      <c r="F29" s="114">
        <f>Bodování!$J44</f>
        <v>2</v>
      </c>
      <c r="G29" s="113" t="s">
        <v>24</v>
      </c>
      <c r="H29" s="118">
        <f>Bodování!$L44</f>
        <v>7.13</v>
      </c>
      <c r="I29" s="120">
        <f>Bodování!$N44</f>
        <v>0</v>
      </c>
      <c r="J29" s="120">
        <f>Bodování!$P44</f>
        <v>361</v>
      </c>
      <c r="K29" s="121">
        <f>Bodování!$R44</f>
        <v>29.5</v>
      </c>
      <c r="L29" s="124">
        <f t="shared" si="0"/>
        <v>23</v>
      </c>
    </row>
    <row r="30" spans="1:12" ht="12.75">
      <c r="A30" s="213"/>
      <c r="B30" s="106" t="str">
        <f>Bodování!$C24</f>
        <v>Veselá Jana</v>
      </c>
      <c r="C30" s="105" t="str">
        <f>Bodování!$C$19</f>
        <v>ZŠ Měřín</v>
      </c>
      <c r="D30" s="109">
        <f>Bodování!$F24</f>
        <v>1346</v>
      </c>
      <c r="E30" s="116">
        <f>Bodování!H24</f>
        <v>9.2</v>
      </c>
      <c r="F30" s="19">
        <f>Bodování!$J24</f>
        <v>2</v>
      </c>
      <c r="G30" s="26" t="s">
        <v>24</v>
      </c>
      <c r="H30" s="27">
        <f>Bodování!$L24</f>
        <v>10.01</v>
      </c>
      <c r="I30" s="120">
        <f>Bodování!$N24</f>
        <v>0</v>
      </c>
      <c r="J30" s="120">
        <f>Bodování!$P24</f>
        <v>372</v>
      </c>
      <c r="K30" s="121">
        <f>Bodování!$R24</f>
        <v>33</v>
      </c>
      <c r="L30" s="124">
        <f t="shared" si="0"/>
        <v>24</v>
      </c>
    </row>
    <row r="31" spans="1:12" ht="12.75">
      <c r="A31" s="213"/>
      <c r="B31" s="106" t="str">
        <f>Bodování!$C31</f>
        <v>Matyášová Leona</v>
      </c>
      <c r="C31" s="105" t="str">
        <f>Bodování!$C$26</f>
        <v>ZŠ Velká Bíteš</v>
      </c>
      <c r="D31" s="109">
        <f>Bodování!$F31</f>
        <v>1327</v>
      </c>
      <c r="E31" s="116">
        <f>Bodování!H31</f>
        <v>9.6</v>
      </c>
      <c r="F31" s="114">
        <f>Bodování!$J31</f>
        <v>2</v>
      </c>
      <c r="G31" s="113" t="s">
        <v>24</v>
      </c>
      <c r="H31" s="118">
        <f>Bodování!$L31</f>
        <v>8.67</v>
      </c>
      <c r="I31" s="120">
        <f>Bodování!$N31</f>
        <v>0</v>
      </c>
      <c r="J31" s="120">
        <f>Bodování!$P31</f>
        <v>393</v>
      </c>
      <c r="K31" s="121">
        <f>Bodování!$R31</f>
        <v>33.5</v>
      </c>
      <c r="L31" s="124">
        <f t="shared" si="0"/>
        <v>25</v>
      </c>
    </row>
    <row r="32" spans="1:12" ht="12.75">
      <c r="A32" s="213"/>
      <c r="B32" s="106" t="str">
        <f>Bodování!$C13</f>
        <v>Skoumalová Sabina</v>
      </c>
      <c r="C32" s="105" t="str">
        <f>Bodování!$C$12</f>
        <v>Gymnázium Bystřice n. P.</v>
      </c>
      <c r="D32" s="109">
        <f>Bodování!$F13</f>
        <v>1325</v>
      </c>
      <c r="E32" s="116">
        <f>Bodování!H13</f>
        <v>9.3</v>
      </c>
      <c r="F32" s="19">
        <f>Bodování!$J13</f>
        <v>2</v>
      </c>
      <c r="G32" s="26" t="s">
        <v>24</v>
      </c>
      <c r="H32" s="27">
        <f>Bodování!$L13</f>
        <v>15.29</v>
      </c>
      <c r="I32" s="120">
        <f>Bodování!$N13</f>
        <v>120</v>
      </c>
      <c r="J32" s="120">
        <f>Bodování!$P13</f>
        <v>0</v>
      </c>
      <c r="K32" s="121">
        <f>Bodování!$R13</f>
        <v>33</v>
      </c>
      <c r="L32" s="124">
        <f t="shared" si="0"/>
        <v>26</v>
      </c>
    </row>
    <row r="33" spans="1:12" ht="12.75">
      <c r="A33" s="213"/>
      <c r="B33" s="106" t="str">
        <f>Bodování!$C51</f>
        <v>Stará Tereza</v>
      </c>
      <c r="C33" s="105" t="str">
        <f>Bodování!$C$47</f>
        <v>ZŠ Školní Velké Meziříčí</v>
      </c>
      <c r="D33" s="109">
        <f>Bodování!$F51</f>
        <v>1323</v>
      </c>
      <c r="E33" s="116">
        <f>Bodování!H51</f>
        <v>9.6</v>
      </c>
      <c r="F33" s="114">
        <f>Bodování!$J51</f>
        <v>2</v>
      </c>
      <c r="G33" s="113" t="s">
        <v>24</v>
      </c>
      <c r="H33" s="118">
        <f>Bodování!$L51</f>
        <v>2.26</v>
      </c>
      <c r="I33" s="120">
        <f>Bodování!$N51</f>
        <v>0</v>
      </c>
      <c r="J33" s="120">
        <f>Bodování!$P51</f>
        <v>397</v>
      </c>
      <c r="K33" s="121">
        <f>Bodování!$R51</f>
        <v>25</v>
      </c>
      <c r="L33" s="124">
        <f t="shared" si="0"/>
        <v>27</v>
      </c>
    </row>
    <row r="34" spans="1:12" ht="12.75">
      <c r="A34" s="213"/>
      <c r="B34" s="108" t="str">
        <f>Bodování!C92</f>
        <v>Dvořáková Magda</v>
      </c>
      <c r="C34" s="108" t="str">
        <f>Bodování!$C$89</f>
        <v>1. ZŠ Nové Město na Mor.</v>
      </c>
      <c r="D34" s="110">
        <f>Bodování!F92</f>
        <v>1310</v>
      </c>
      <c r="E34" s="117">
        <f>Bodování!H92</f>
        <v>9.2</v>
      </c>
      <c r="F34" s="210">
        <f>Bodování!J92</f>
        <v>2</v>
      </c>
      <c r="G34" s="26" t="s">
        <v>24</v>
      </c>
      <c r="H34" s="170">
        <f>Bodování!L92</f>
        <v>11.7</v>
      </c>
      <c r="I34" s="120">
        <f>Bodování!$N92</f>
        <v>0</v>
      </c>
      <c r="J34" s="120">
        <f>Bodování!$P92</f>
        <v>392</v>
      </c>
      <c r="K34" s="121">
        <f>Bodování!$R92</f>
        <v>28</v>
      </c>
      <c r="L34" s="124">
        <f t="shared" si="0"/>
        <v>28</v>
      </c>
    </row>
    <row r="35" spans="1:12" ht="12.75">
      <c r="A35" s="213"/>
      <c r="B35" s="106" t="str">
        <f>Bodování!$C29</f>
        <v>Padyšáková Sofie</v>
      </c>
      <c r="C35" s="105" t="str">
        <f>Bodování!$C$26</f>
        <v>ZŠ Velká Bíteš</v>
      </c>
      <c r="D35" s="109">
        <f>Bodování!$F29</f>
        <v>1287</v>
      </c>
      <c r="E35" s="116">
        <f>Bodování!H29</f>
        <v>10</v>
      </c>
      <c r="F35" s="114">
        <f>Bodování!$J29</f>
        <v>1</v>
      </c>
      <c r="G35" s="113" t="s">
        <v>24</v>
      </c>
      <c r="H35" s="118">
        <f>Bodování!$L29</f>
        <v>56.89</v>
      </c>
      <c r="I35" s="120">
        <f>Bodování!$N29</f>
        <v>0</v>
      </c>
      <c r="J35" s="120">
        <f>Bodování!$P29</f>
        <v>336</v>
      </c>
      <c r="K35" s="121">
        <f>Bodování!$R29</f>
        <v>33</v>
      </c>
      <c r="L35" s="124">
        <f t="shared" si="0"/>
        <v>29</v>
      </c>
    </row>
    <row r="36" spans="1:12" ht="12.75">
      <c r="A36" s="213"/>
      <c r="B36" s="106" t="str">
        <f>Bodování!$C34</f>
        <v>Švihálková Vendula</v>
      </c>
      <c r="C36" s="105" t="str">
        <f>Bodování!$C$33</f>
        <v>ZŠ Oslavická V. Meziříčí</v>
      </c>
      <c r="D36" s="109">
        <f>Bodování!$F34</f>
        <v>1285</v>
      </c>
      <c r="E36" s="116">
        <f>Bodování!H34</f>
        <v>8.9</v>
      </c>
      <c r="F36" s="114">
        <f>Bodování!$J34</f>
        <v>2</v>
      </c>
      <c r="G36" s="113" t="s">
        <v>24</v>
      </c>
      <c r="H36" s="118">
        <f>Bodování!$L34</f>
        <v>11.32</v>
      </c>
      <c r="I36" s="120">
        <f>Bodování!$N34</f>
        <v>110</v>
      </c>
      <c r="J36" s="120">
        <f>Bodování!$P34</f>
        <v>0</v>
      </c>
      <c r="K36" s="121">
        <f>Bodování!$R34</f>
        <v>25</v>
      </c>
      <c r="L36" s="124">
        <f t="shared" si="0"/>
        <v>30</v>
      </c>
    </row>
    <row r="37" spans="1:12" ht="12.75">
      <c r="A37" s="213"/>
      <c r="B37" s="106" t="str">
        <f>Bodování!$C50</f>
        <v>Pitříková Aneta</v>
      </c>
      <c r="C37" s="105" t="str">
        <f>Bodování!$C$47</f>
        <v>ZŠ Školní Velké Meziříčí</v>
      </c>
      <c r="D37" s="109">
        <f>Bodování!$F50</f>
        <v>1268</v>
      </c>
      <c r="E37" s="116">
        <f>Bodování!H50</f>
        <v>9.3</v>
      </c>
      <c r="F37" s="19">
        <f>Bodování!$J50</f>
        <v>2</v>
      </c>
      <c r="G37" s="26" t="s">
        <v>24</v>
      </c>
      <c r="H37" s="27">
        <f>Bodování!$L50</f>
        <v>1.7</v>
      </c>
      <c r="I37" s="120">
        <f>Bodování!$N50</f>
        <v>0</v>
      </c>
      <c r="J37" s="120">
        <f>Bodování!$P50</f>
        <v>336</v>
      </c>
      <c r="K37" s="121">
        <f>Bodování!$R50</f>
        <v>25</v>
      </c>
      <c r="L37" s="124">
        <f t="shared" si="0"/>
        <v>31</v>
      </c>
    </row>
    <row r="38" spans="1:12" ht="12.75">
      <c r="A38" s="213"/>
      <c r="B38" s="106" t="str">
        <f>Bodování!$C7</f>
        <v>Vránová Iva</v>
      </c>
      <c r="C38" s="105" t="str">
        <f>Bodování!$C$5</f>
        <v>ZŠ Švermova Žďár n. S.</v>
      </c>
      <c r="D38" s="109">
        <f>Bodování!$F7</f>
        <v>1259</v>
      </c>
      <c r="E38" s="116">
        <f>Bodování!H7</f>
        <v>9.3</v>
      </c>
      <c r="F38" s="114">
        <f>Bodování!$J7</f>
        <v>2</v>
      </c>
      <c r="G38" s="113" t="s">
        <v>24</v>
      </c>
      <c r="H38" s="118">
        <f>Bodování!$L7</f>
        <v>7.57</v>
      </c>
      <c r="I38" s="120">
        <f>Bodování!$N7</f>
        <v>115</v>
      </c>
      <c r="J38" s="120">
        <f>Bodování!$P7</f>
        <v>0</v>
      </c>
      <c r="K38" s="121">
        <f>Bodování!$R7</f>
        <v>23</v>
      </c>
      <c r="L38" s="124">
        <f t="shared" si="0"/>
        <v>32</v>
      </c>
    </row>
    <row r="39" spans="1:12" ht="12.75">
      <c r="A39" s="213"/>
      <c r="B39" s="106" t="str">
        <f>Bodování!$C28</f>
        <v>Dočkalová Natálie</v>
      </c>
      <c r="C39" s="105" t="str">
        <f>Bodování!$C$26</f>
        <v>ZŠ Velká Bíteš</v>
      </c>
      <c r="D39" s="109">
        <f>Bodování!$F28</f>
        <v>1253</v>
      </c>
      <c r="E39" s="116">
        <f>Bodování!H28</f>
        <v>9.4</v>
      </c>
      <c r="F39" s="19">
        <f>Bodování!$J28</f>
        <v>2</v>
      </c>
      <c r="G39" s="26" t="s">
        <v>24</v>
      </c>
      <c r="H39" s="27">
        <f>Bodování!$L28</f>
        <v>16.06</v>
      </c>
      <c r="I39" s="120">
        <f>Bodování!$N28</f>
        <v>120</v>
      </c>
      <c r="J39" s="120">
        <f>Bodování!$P28</f>
        <v>0</v>
      </c>
      <c r="K39" s="121">
        <f>Bodování!$R28</f>
        <v>29.5</v>
      </c>
      <c r="L39" s="124">
        <f aca="true" t="shared" si="1" ref="L39:L70">IF(D39=0,"NEV",(RANK(D39,$D$7:$D$81)))</f>
        <v>33</v>
      </c>
    </row>
    <row r="40" spans="1:12" ht="12.75">
      <c r="A40" s="213"/>
      <c r="B40" s="106" t="str">
        <f>Bodování!$C9</f>
        <v>Štorková Jana</v>
      </c>
      <c r="C40" s="105" t="str">
        <f>Bodování!$C$5</f>
        <v>ZŠ Švermova Žďár n. S.</v>
      </c>
      <c r="D40" s="109">
        <f>Bodování!$F9</f>
        <v>1245</v>
      </c>
      <c r="E40" s="116">
        <f>Bodování!H9</f>
        <v>9.1</v>
      </c>
      <c r="F40" s="114">
        <f>Bodování!$J9</f>
        <v>2</v>
      </c>
      <c r="G40" s="113" t="s">
        <v>24</v>
      </c>
      <c r="H40" s="118">
        <f>Bodování!$L9</f>
        <v>4.8</v>
      </c>
      <c r="I40" s="120">
        <f>Bodování!$N9</f>
        <v>0</v>
      </c>
      <c r="J40" s="120">
        <f>Bodování!$P9</f>
        <v>367</v>
      </c>
      <c r="K40" s="121">
        <f>Bodování!$R9</f>
        <v>17</v>
      </c>
      <c r="L40" s="124">
        <f t="shared" si="1"/>
        <v>34</v>
      </c>
    </row>
    <row r="41" spans="1:12" ht="12.75">
      <c r="A41" s="213"/>
      <c r="B41" s="106" t="str">
        <f>Bodování!$C21</f>
        <v>Smažilová Tereza</v>
      </c>
      <c r="C41" s="105" t="str">
        <f>Bodování!$C$19</f>
        <v>ZŠ Měřín</v>
      </c>
      <c r="D41" s="109">
        <f>Bodování!$F21</f>
        <v>1245</v>
      </c>
      <c r="E41" s="116">
        <f>Bodování!H21</f>
        <v>9.5</v>
      </c>
      <c r="F41" s="19">
        <f>Bodování!$J21</f>
        <v>2</v>
      </c>
      <c r="G41" s="26" t="s">
        <v>24</v>
      </c>
      <c r="H41" s="27">
        <f>Bodování!$L21</f>
        <v>21.8</v>
      </c>
      <c r="I41" s="120">
        <f>Bodování!$N21</f>
        <v>125</v>
      </c>
      <c r="J41" s="120">
        <f>Bodování!$P21</f>
        <v>0</v>
      </c>
      <c r="K41" s="121">
        <f>Bodování!$R21</f>
        <v>32</v>
      </c>
      <c r="L41" s="124">
        <f t="shared" si="1"/>
        <v>34</v>
      </c>
    </row>
    <row r="42" spans="1:12" ht="12.75">
      <c r="A42" s="213"/>
      <c r="B42" s="106" t="str">
        <f>Bodování!$C17</f>
        <v>Svobodová Sára</v>
      </c>
      <c r="C42" s="105" t="str">
        <f>Bodování!$C$12</f>
        <v>Gymnázium Bystřice n. P.</v>
      </c>
      <c r="D42" s="109">
        <f>Bodování!$F17</f>
        <v>1243</v>
      </c>
      <c r="E42" s="116">
        <f>Bodování!H17</f>
        <v>9.1</v>
      </c>
      <c r="F42" s="114">
        <f>Bodování!$J17</f>
        <v>2</v>
      </c>
      <c r="G42" s="113" t="s">
        <v>24</v>
      </c>
      <c r="H42" s="118">
        <f>Bodování!$L17</f>
        <v>11.09</v>
      </c>
      <c r="I42" s="120">
        <f>Bodování!$N17</f>
        <v>0</v>
      </c>
      <c r="J42" s="120">
        <f>Bodování!$P17</f>
        <v>368</v>
      </c>
      <c r="K42" s="121">
        <f>Bodování!$R17</f>
        <v>24</v>
      </c>
      <c r="L42" s="124">
        <f t="shared" si="1"/>
        <v>36</v>
      </c>
    </row>
    <row r="43" spans="1:12" ht="12.75">
      <c r="A43" s="213"/>
      <c r="B43" s="106" t="str">
        <f>Bodování!$C36</f>
        <v>Pálková Pavlína</v>
      </c>
      <c r="C43" s="105" t="str">
        <f>Bodování!$C$33</f>
        <v>ZŠ Oslavická V. Meziříčí</v>
      </c>
      <c r="D43" s="109">
        <f>Bodování!$F36</f>
        <v>1240</v>
      </c>
      <c r="E43" s="116">
        <f>Bodování!H36</f>
        <v>9.2</v>
      </c>
      <c r="F43" s="19">
        <f>Bodování!$J36</f>
        <v>2</v>
      </c>
      <c r="G43" s="26" t="s">
        <v>24</v>
      </c>
      <c r="H43" s="27">
        <f>Bodování!$L36</f>
        <v>10.41</v>
      </c>
      <c r="I43" s="120">
        <f>Bodování!$N36</f>
        <v>0</v>
      </c>
      <c r="J43" s="120">
        <f>Bodování!$P36</f>
        <v>379</v>
      </c>
      <c r="K43" s="121">
        <f>Bodování!$R36</f>
        <v>23</v>
      </c>
      <c r="L43" s="124">
        <f t="shared" si="1"/>
        <v>37</v>
      </c>
    </row>
    <row r="44" spans="1:12" ht="12.75">
      <c r="A44" s="213"/>
      <c r="B44" s="106" t="str">
        <f>Bodování!$C22</f>
        <v>Koudelová Hana</v>
      </c>
      <c r="C44" s="105" t="str">
        <f>Bodování!$C$19</f>
        <v>ZŠ Měřín</v>
      </c>
      <c r="D44" s="109">
        <f>Bodování!$F22</f>
        <v>1237</v>
      </c>
      <c r="E44" s="116">
        <f>Bodování!H22</f>
        <v>9.8</v>
      </c>
      <c r="F44" s="114">
        <f>Bodování!$J22</f>
        <v>2</v>
      </c>
      <c r="G44" s="113" t="s">
        <v>24</v>
      </c>
      <c r="H44" s="118">
        <f>Bodování!$L22</f>
        <v>14.7</v>
      </c>
      <c r="I44" s="120">
        <f>Bodování!$N22</f>
        <v>125</v>
      </c>
      <c r="J44" s="120">
        <f>Bodování!$P22</f>
        <v>0</v>
      </c>
      <c r="K44" s="121">
        <f>Bodování!$R22</f>
        <v>30</v>
      </c>
      <c r="L44" s="124">
        <f t="shared" si="1"/>
        <v>38</v>
      </c>
    </row>
    <row r="45" spans="1:12" ht="12.75">
      <c r="A45" s="213"/>
      <c r="B45" s="106" t="str">
        <f>Bodování!$C30</f>
        <v>Svobodová Dominika</v>
      </c>
      <c r="C45" s="105" t="str">
        <f>Bodování!$C$26</f>
        <v>ZŠ Velká Bíteš</v>
      </c>
      <c r="D45" s="109">
        <f>Bodování!$F30</f>
        <v>1237</v>
      </c>
      <c r="E45" s="116">
        <f>Bodování!H30</f>
        <v>9.4</v>
      </c>
      <c r="F45" s="19">
        <f>Bodování!$J30</f>
        <v>2</v>
      </c>
      <c r="G45" s="26" t="s">
        <v>24</v>
      </c>
      <c r="H45" s="27">
        <f>Bodování!$L30</f>
        <v>10.74</v>
      </c>
      <c r="I45" s="120">
        <f>Bodování!$N30</f>
        <v>0</v>
      </c>
      <c r="J45" s="120">
        <f>Bodování!$P30</f>
        <v>374</v>
      </c>
      <c r="K45" s="121">
        <f>Bodování!$R30</f>
        <v>28</v>
      </c>
      <c r="L45" s="124">
        <f t="shared" si="1"/>
        <v>38</v>
      </c>
    </row>
    <row r="46" spans="1:12" ht="12.75">
      <c r="A46" s="213"/>
      <c r="B46" s="106" t="str">
        <f>Bodování!$C8</f>
        <v>Kubíková Natálie</v>
      </c>
      <c r="C46" s="105" t="str">
        <f>Bodování!$C$5</f>
        <v>ZŠ Švermova Žďár n. S.</v>
      </c>
      <c r="D46" s="109">
        <f>Bodování!$F8</f>
        <v>1213</v>
      </c>
      <c r="E46" s="116">
        <f>Bodování!H8</f>
        <v>9.3</v>
      </c>
      <c r="F46" s="114">
        <f>Bodování!$J8</f>
        <v>2</v>
      </c>
      <c r="G46" s="113" t="s">
        <v>24</v>
      </c>
      <c r="H46" s="118">
        <f>Bodování!$L8</f>
        <v>15.61</v>
      </c>
      <c r="I46" s="120">
        <f>Bodování!$N8</f>
        <v>0</v>
      </c>
      <c r="J46" s="120">
        <f>Bodování!$P8</f>
        <v>358</v>
      </c>
      <c r="K46" s="121">
        <f>Bodování!$R8</f>
        <v>32</v>
      </c>
      <c r="L46" s="124">
        <f t="shared" si="1"/>
        <v>40</v>
      </c>
    </row>
    <row r="47" spans="1:12" ht="12.75">
      <c r="A47" s="213"/>
      <c r="B47" s="215" t="str">
        <f>Bodování!$C66</f>
        <v>Kršková Anna Marie</v>
      </c>
      <c r="C47" s="105" t="str">
        <f>Bodování!$C$61</f>
        <v>2. ZŠ Žďár nad Sázavou</v>
      </c>
      <c r="D47" s="109">
        <f>Bodování!$F66</f>
        <v>1169</v>
      </c>
      <c r="E47" s="116">
        <f>Bodování!H66</f>
        <v>9.5</v>
      </c>
      <c r="F47" s="19">
        <f>Bodování!$J66</f>
        <v>2</v>
      </c>
      <c r="G47" s="26" t="s">
        <v>24</v>
      </c>
      <c r="H47" s="27">
        <f>Bodování!$L66</f>
        <v>9.16</v>
      </c>
      <c r="I47" s="120">
        <f>Bodování!$N66</f>
        <v>0</v>
      </c>
      <c r="J47" s="120">
        <f>Bodování!$P66</f>
        <v>342</v>
      </c>
      <c r="K47" s="121">
        <f>Bodování!$R66</f>
        <v>28</v>
      </c>
      <c r="L47" s="124">
        <f t="shared" si="1"/>
        <v>41</v>
      </c>
    </row>
    <row r="48" spans="1:12" ht="12.75">
      <c r="A48" s="213"/>
      <c r="B48" s="106" t="str">
        <f>Bodování!$C41</f>
        <v>Dufková Petra</v>
      </c>
      <c r="C48" s="105" t="str">
        <f>Bodování!$C$40</f>
        <v>ZŠ T.G.M. Bystřice n. P.</v>
      </c>
      <c r="D48" s="109">
        <f>Bodování!$F41</f>
        <v>1156</v>
      </c>
      <c r="E48" s="116">
        <f>Bodování!H41</f>
        <v>9.2</v>
      </c>
      <c r="F48" s="114">
        <f>Bodování!$J41</f>
        <v>2</v>
      </c>
      <c r="G48" s="113" t="s">
        <v>24</v>
      </c>
      <c r="H48" s="118">
        <f>Bodování!$L41</f>
        <v>26.98</v>
      </c>
      <c r="I48" s="120">
        <f>Bodování!$N41</f>
        <v>120</v>
      </c>
      <c r="J48" s="120">
        <f>Bodování!$P41</f>
        <v>0</v>
      </c>
      <c r="K48" s="121">
        <f>Bodování!$R41</f>
        <v>27</v>
      </c>
      <c r="L48" s="124">
        <f t="shared" si="1"/>
        <v>42</v>
      </c>
    </row>
    <row r="49" spans="1:12" ht="12.75">
      <c r="A49" s="213"/>
      <c r="B49" s="108" t="str">
        <f>Bodování!C87</f>
        <v>Peňázová Vendula</v>
      </c>
      <c r="C49" s="108" t="str">
        <f>Bodování!$C$82</f>
        <v>Gymnázium Žďár n. S.</v>
      </c>
      <c r="D49" s="110">
        <f>Bodování!F87</f>
        <v>1154</v>
      </c>
      <c r="E49" s="117">
        <f>Bodování!H87</f>
        <v>9.1</v>
      </c>
      <c r="F49" s="17">
        <f>Bodování!J87</f>
        <v>2</v>
      </c>
      <c r="G49" s="26" t="s">
        <v>24</v>
      </c>
      <c r="H49" s="112">
        <f>Bodování!L87</f>
        <v>10.45</v>
      </c>
      <c r="I49" s="120">
        <f>Bodování!$N87</f>
        <v>0</v>
      </c>
      <c r="J49" s="120">
        <f>Bodování!$P87</f>
        <v>356</v>
      </c>
      <c r="K49" s="121">
        <f>Bodování!$R87</f>
        <v>17.5</v>
      </c>
      <c r="L49" s="124">
        <f t="shared" si="1"/>
        <v>43</v>
      </c>
    </row>
    <row r="50" spans="1:12" ht="12.75">
      <c r="A50" s="213"/>
      <c r="B50" s="106" t="str">
        <f>Bodování!$C58</f>
        <v>Hanáková Klára</v>
      </c>
      <c r="C50" s="105" t="str">
        <f>Bodování!$C$54</f>
        <v>ZŠ Nádražní Bystřice n. P.</v>
      </c>
      <c r="D50" s="109">
        <f>Bodování!$F58</f>
        <v>1140</v>
      </c>
      <c r="E50" s="116">
        <f>Bodování!H58</f>
        <v>9.8</v>
      </c>
      <c r="F50" s="114">
        <f>Bodování!$J58</f>
        <v>2</v>
      </c>
      <c r="G50" s="113" t="s">
        <v>24</v>
      </c>
      <c r="H50" s="118">
        <f>Bodování!$L58</f>
        <v>16.51</v>
      </c>
      <c r="I50" s="120">
        <f>Bodování!$N58</f>
        <v>0</v>
      </c>
      <c r="J50" s="120">
        <f>Bodování!$P58</f>
        <v>353</v>
      </c>
      <c r="K50" s="121">
        <f>Bodování!$R58</f>
        <v>36.5</v>
      </c>
      <c r="L50" s="124">
        <f t="shared" si="1"/>
        <v>44</v>
      </c>
    </row>
    <row r="51" spans="1:12" ht="12.75">
      <c r="A51" s="213"/>
      <c r="B51" s="108" t="str">
        <f>Bodování!C86</f>
        <v>Nováková Alžběta</v>
      </c>
      <c r="C51" s="108" t="str">
        <f>Bodování!$C$82</f>
        <v>Gymnázium Žďár n. S.</v>
      </c>
      <c r="D51" s="110">
        <f>Bodování!F86</f>
        <v>1127</v>
      </c>
      <c r="E51" s="117">
        <f>Bodování!H86</f>
        <v>9.4</v>
      </c>
      <c r="F51" s="210">
        <f>Bodování!J86</f>
        <v>2</v>
      </c>
      <c r="G51" s="26" t="s">
        <v>24</v>
      </c>
      <c r="H51" s="170">
        <f>Bodování!L86</f>
        <v>9.39</v>
      </c>
      <c r="I51" s="120">
        <f>Bodování!$N86</f>
        <v>0</v>
      </c>
      <c r="J51" s="120">
        <f>Bodování!$P86</f>
        <v>362</v>
      </c>
      <c r="K51" s="121">
        <f>Bodování!$R86</f>
        <v>19</v>
      </c>
      <c r="L51" s="124">
        <f t="shared" si="1"/>
        <v>45</v>
      </c>
    </row>
    <row r="52" spans="1:12" ht="12.75">
      <c r="A52" s="213"/>
      <c r="B52" s="108" t="str">
        <f>Bodování!C79</f>
        <v>Burešová Lucie</v>
      </c>
      <c r="C52" s="105" t="str">
        <f>Bodování!$C$75</f>
        <v>ZŠ Sokolovská V. Meziříčí</v>
      </c>
      <c r="D52" s="109">
        <f>Bodování!F79</f>
        <v>1126</v>
      </c>
      <c r="E52" s="117">
        <f>Bodování!H79</f>
        <v>9.3</v>
      </c>
      <c r="F52" s="115">
        <f>Bodování!J79</f>
        <v>2</v>
      </c>
      <c r="G52" s="113" t="s">
        <v>24</v>
      </c>
      <c r="H52" s="119">
        <f>Bodování!L79</f>
        <v>12.42</v>
      </c>
      <c r="I52" s="104">
        <f>Bodování!N79</f>
        <v>0</v>
      </c>
      <c r="J52" s="104">
        <f>Bodování!P79</f>
        <v>330</v>
      </c>
      <c r="K52" s="122">
        <f>Bodování!R79</f>
        <v>26</v>
      </c>
      <c r="L52" s="124">
        <f t="shared" si="1"/>
        <v>46</v>
      </c>
    </row>
    <row r="53" spans="1:12" ht="12.75">
      <c r="A53" s="213"/>
      <c r="B53" s="106" t="str">
        <f>Bodování!$C43</f>
        <v>Podsedníková Zita</v>
      </c>
      <c r="C53" s="105" t="str">
        <f>Bodování!$C$40</f>
        <v>ZŠ T.G.M. Bystřice n. P.</v>
      </c>
      <c r="D53" s="109">
        <f>Bodování!$F43</f>
        <v>1120</v>
      </c>
      <c r="E53" s="116">
        <f>Bodování!H43</f>
        <v>9.3</v>
      </c>
      <c r="F53" s="19">
        <f>Bodování!$J43</f>
        <v>2</v>
      </c>
      <c r="G53" s="26" t="s">
        <v>24</v>
      </c>
      <c r="H53" s="27">
        <f>Bodování!$L43</f>
        <v>19.8</v>
      </c>
      <c r="I53" s="120">
        <f>Bodování!$N43</f>
        <v>0</v>
      </c>
      <c r="J53" s="120">
        <f>Bodování!$P43</f>
        <v>390</v>
      </c>
      <c r="K53" s="121">
        <f>Bodování!$R43</f>
        <v>22</v>
      </c>
      <c r="L53" s="124">
        <f t="shared" si="1"/>
        <v>47</v>
      </c>
    </row>
    <row r="54" spans="1:12" ht="12.75">
      <c r="A54" s="213"/>
      <c r="B54" s="108" t="str">
        <f>Bodování!C83</f>
        <v>Matýsková Soňa</v>
      </c>
      <c r="C54" s="108" t="str">
        <f>Bodování!$C$82</f>
        <v>Gymnázium Žďár n. S.</v>
      </c>
      <c r="D54" s="110">
        <f>Bodování!F83</f>
        <v>1118</v>
      </c>
      <c r="E54" s="117">
        <f>Bodování!H83</f>
        <v>9.2</v>
      </c>
      <c r="F54" s="179">
        <f>Bodování!J83</f>
        <v>2</v>
      </c>
      <c r="G54" s="113" t="s">
        <v>24</v>
      </c>
      <c r="H54" s="119">
        <f>Bodování!L83</f>
        <v>36.7</v>
      </c>
      <c r="I54" s="120">
        <f>Bodování!$N83</f>
        <v>125</v>
      </c>
      <c r="J54" s="120">
        <f>Bodování!$P83</f>
        <v>0</v>
      </c>
      <c r="K54" s="121">
        <f>Bodování!$R83</f>
        <v>26.5</v>
      </c>
      <c r="L54" s="124">
        <f t="shared" si="1"/>
        <v>48</v>
      </c>
    </row>
    <row r="55" spans="1:12" ht="12.75">
      <c r="A55" s="213"/>
      <c r="B55" s="108" t="str">
        <f>Bodování!C84</f>
        <v>Gruntová Berenika</v>
      </c>
      <c r="C55" s="108" t="str">
        <f>Bodování!$C$82</f>
        <v>Gymnázium Žďár n. S.</v>
      </c>
      <c r="D55" s="110">
        <f>Bodování!F84</f>
        <v>1111</v>
      </c>
      <c r="E55" s="117">
        <f>Bodování!H84</f>
        <v>9.2</v>
      </c>
      <c r="F55" s="210">
        <f>Bodování!J84</f>
        <v>2</v>
      </c>
      <c r="G55" s="26" t="s">
        <v>24</v>
      </c>
      <c r="H55" s="170">
        <f>Bodování!L84</f>
        <v>12.01</v>
      </c>
      <c r="I55" s="120">
        <f>Bodování!$N84</f>
        <v>105</v>
      </c>
      <c r="J55" s="120">
        <f>Bodování!$P84</f>
        <v>0</v>
      </c>
      <c r="K55" s="121">
        <f>Bodování!$R84</f>
        <v>20.5</v>
      </c>
      <c r="L55" s="124">
        <f t="shared" si="1"/>
        <v>49</v>
      </c>
    </row>
    <row r="56" spans="1:12" ht="12.75">
      <c r="A56" s="213"/>
      <c r="B56" s="106" t="str">
        <f>Bodování!$C16</f>
        <v>Svobodová Andrea</v>
      </c>
      <c r="C56" s="105" t="str">
        <f>Bodování!$C$12</f>
        <v>Gymnázium Bystřice n. P.</v>
      </c>
      <c r="D56" s="109">
        <f>Bodování!$F16</f>
        <v>1108</v>
      </c>
      <c r="E56" s="116">
        <f>Bodování!H16</f>
        <v>9.7</v>
      </c>
      <c r="F56" s="114">
        <f>Bodování!$J16</f>
        <v>2</v>
      </c>
      <c r="G56" s="113" t="s">
        <v>24</v>
      </c>
      <c r="H56" s="118">
        <f>Bodování!$L16</f>
        <v>25.39</v>
      </c>
      <c r="I56" s="120">
        <f>Bodování!$N16</f>
        <v>0</v>
      </c>
      <c r="J56" s="120">
        <f>Bodování!$P16</f>
        <v>364</v>
      </c>
      <c r="K56" s="121">
        <f>Bodování!$R16</f>
        <v>38</v>
      </c>
      <c r="L56" s="124">
        <f t="shared" si="1"/>
        <v>50</v>
      </c>
    </row>
    <row r="57" spans="1:12" ht="12.75">
      <c r="A57" s="213"/>
      <c r="B57" s="106" t="str">
        <f>Bodování!$C15</f>
        <v>Strašilová Ladislava</v>
      </c>
      <c r="C57" s="105" t="str">
        <f>Bodování!$C$12</f>
        <v>Gymnázium Bystřice n. P.</v>
      </c>
      <c r="D57" s="109">
        <f>Bodování!$F15</f>
        <v>1092</v>
      </c>
      <c r="E57" s="116">
        <f>Bodování!H15</f>
        <v>9.4</v>
      </c>
      <c r="F57" s="19">
        <f>Bodování!$J15</f>
        <v>2</v>
      </c>
      <c r="G57" s="26" t="s">
        <v>24</v>
      </c>
      <c r="H57" s="27">
        <f>Bodování!$L15</f>
        <v>12.09</v>
      </c>
      <c r="I57" s="120">
        <f>Bodování!$N15</f>
        <v>0</v>
      </c>
      <c r="J57" s="120">
        <f>Bodování!$P15</f>
        <v>367</v>
      </c>
      <c r="K57" s="121">
        <f>Bodování!$R15</f>
        <v>18</v>
      </c>
      <c r="L57" s="124">
        <f t="shared" si="1"/>
        <v>51</v>
      </c>
    </row>
    <row r="58" spans="1:12" ht="12.75">
      <c r="A58" s="213"/>
      <c r="B58" s="106" t="str">
        <f>Bodování!$C49</f>
        <v>Malcová Natálie</v>
      </c>
      <c r="C58" s="105" t="str">
        <f>Bodování!$C$47</f>
        <v>ZŠ Školní Velké Meziříčí</v>
      </c>
      <c r="D58" s="109">
        <f>Bodování!$F49</f>
        <v>1070</v>
      </c>
      <c r="E58" s="116">
        <f>Bodování!H49</f>
        <v>9.6</v>
      </c>
      <c r="F58" s="114">
        <f>Bodování!$J49</f>
        <v>2</v>
      </c>
      <c r="G58" s="113" t="s">
        <v>24</v>
      </c>
      <c r="H58" s="118">
        <f>Bodování!$L49</f>
        <v>17.7</v>
      </c>
      <c r="I58" s="120">
        <f>Bodování!$N49</f>
        <v>115</v>
      </c>
      <c r="J58" s="120">
        <f>Bodování!$P49</f>
        <v>0</v>
      </c>
      <c r="K58" s="121">
        <f>Bodování!$R49</f>
        <v>23</v>
      </c>
      <c r="L58" s="124">
        <f t="shared" si="1"/>
        <v>52</v>
      </c>
    </row>
    <row r="59" spans="1:12" ht="12.75">
      <c r="A59" s="213"/>
      <c r="B59" s="108" t="str">
        <f>Bodování!C78</f>
        <v>Drápelová Kateřina</v>
      </c>
      <c r="C59" s="105" t="str">
        <f>Bodování!$C$75</f>
        <v>ZŠ Sokolovská V. Meziříčí</v>
      </c>
      <c r="D59" s="109">
        <f>Bodování!F78</f>
        <v>1043</v>
      </c>
      <c r="E59" s="117">
        <f>Bodování!H78</f>
        <v>9.5</v>
      </c>
      <c r="F59" s="22">
        <f>Bodování!J78</f>
        <v>2</v>
      </c>
      <c r="G59" s="26" t="s">
        <v>24</v>
      </c>
      <c r="H59" s="170">
        <f>Bodování!L78</f>
        <v>13.11</v>
      </c>
      <c r="I59" s="104">
        <f>Bodování!N78</f>
        <v>0</v>
      </c>
      <c r="J59" s="104">
        <f>Bodování!P78</f>
        <v>349</v>
      </c>
      <c r="K59" s="122">
        <f>Bodování!R78</f>
        <v>20</v>
      </c>
      <c r="L59" s="124">
        <f t="shared" si="1"/>
        <v>53</v>
      </c>
    </row>
    <row r="60" spans="1:12" ht="12.75">
      <c r="A60" s="213"/>
      <c r="B60" s="108" t="str">
        <f>Bodování!C93</f>
        <v>Rousová Aneta</v>
      </c>
      <c r="C60" s="108" t="str">
        <f>Bodování!$C$89</f>
        <v>1. ZŠ Nové Město na Mor.</v>
      </c>
      <c r="D60" s="110">
        <f>Bodování!F93</f>
        <v>1042</v>
      </c>
      <c r="E60" s="117">
        <f>Bodování!H93</f>
        <v>9.7</v>
      </c>
      <c r="F60" s="179">
        <f>Bodování!J93</f>
        <v>2</v>
      </c>
      <c r="G60" s="113" t="s">
        <v>24</v>
      </c>
      <c r="H60" s="119">
        <f>Bodování!L93</f>
        <v>19.3</v>
      </c>
      <c r="I60" s="120">
        <f>Bodování!$N93</f>
        <v>0</v>
      </c>
      <c r="J60" s="120">
        <f>Bodování!$P93</f>
        <v>365</v>
      </c>
      <c r="K60" s="121">
        <f>Bodování!$R93</f>
        <v>27</v>
      </c>
      <c r="L60" s="124">
        <f t="shared" si="1"/>
        <v>54</v>
      </c>
    </row>
    <row r="61" spans="1:12" ht="12.75">
      <c r="A61" s="213"/>
      <c r="B61" s="108" t="str">
        <f>Bodování!C94</f>
        <v>Mojžíšová Simona</v>
      </c>
      <c r="C61" s="108" t="str">
        <f>Bodování!$C$89</f>
        <v>1. ZŠ Nové Město na Mor.</v>
      </c>
      <c r="D61" s="110">
        <f>Bodování!F94</f>
        <v>1037</v>
      </c>
      <c r="E61" s="117">
        <f>Bodování!H94</f>
        <v>9.3</v>
      </c>
      <c r="F61" s="210">
        <f>Bodování!J94</f>
        <v>2</v>
      </c>
      <c r="G61" s="26" t="s">
        <v>24</v>
      </c>
      <c r="H61" s="170">
        <f>Bodování!L94</f>
        <v>14.76</v>
      </c>
      <c r="I61" s="120">
        <f>Bodování!$N94</f>
        <v>0</v>
      </c>
      <c r="J61" s="120">
        <f>Bodování!$P94</f>
        <v>345</v>
      </c>
      <c r="K61" s="121">
        <f>Bodování!$R94</f>
        <v>18</v>
      </c>
      <c r="L61" s="124">
        <f t="shared" si="1"/>
        <v>55</v>
      </c>
    </row>
    <row r="62" spans="1:12" ht="12.75">
      <c r="A62" s="213"/>
      <c r="B62" s="106" t="str">
        <f>Bodování!$C55</f>
        <v>Šimonová Leontina</v>
      </c>
      <c r="C62" s="105" t="str">
        <f>Bodování!$C$54</f>
        <v>ZŠ Nádražní Bystřice n. P.</v>
      </c>
      <c r="D62" s="109">
        <f>Bodování!$F55</f>
        <v>1033</v>
      </c>
      <c r="E62" s="209">
        <f>Bodování!H55</f>
        <v>9.3</v>
      </c>
      <c r="F62" s="19">
        <f>Bodování!$J55</f>
        <v>2</v>
      </c>
      <c r="G62" s="26" t="s">
        <v>24</v>
      </c>
      <c r="H62" s="27">
        <f>Bodování!$L55</f>
        <v>38.3</v>
      </c>
      <c r="I62" s="120">
        <f>Bodování!$N55</f>
        <v>130</v>
      </c>
      <c r="J62" s="120">
        <f>Bodování!$P55</f>
        <v>0</v>
      </c>
      <c r="K62" s="121">
        <f>Bodování!$R55</f>
        <v>17.5</v>
      </c>
      <c r="L62" s="124">
        <f t="shared" si="1"/>
        <v>56</v>
      </c>
    </row>
    <row r="63" spans="1:12" ht="12.75">
      <c r="A63" s="213"/>
      <c r="B63" s="106" t="str">
        <f>Bodování!$C6</f>
        <v>Neuerová Nikola</v>
      </c>
      <c r="C63" s="105" t="str">
        <f>Bodování!$C$5</f>
        <v>ZŠ Švermova Žďár n. S.</v>
      </c>
      <c r="D63" s="109">
        <f>Bodování!$F6</f>
        <v>1032</v>
      </c>
      <c r="E63" s="116">
        <f>Bodování!H6</f>
        <v>9.2</v>
      </c>
      <c r="F63" s="114">
        <f>Bodování!$J6</f>
        <v>2</v>
      </c>
      <c r="G63" s="113" t="s">
        <v>24</v>
      </c>
      <c r="H63" s="211">
        <f>Bodování!$L6</f>
        <v>10.26</v>
      </c>
      <c r="I63" s="120">
        <f>Bodování!$N6</f>
        <v>0</v>
      </c>
      <c r="J63" s="120">
        <f>Bodování!$P6</f>
        <v>0</v>
      </c>
      <c r="K63" s="121">
        <f>Bodování!$R6</f>
        <v>27.5</v>
      </c>
      <c r="L63" s="124">
        <f t="shared" si="1"/>
        <v>57</v>
      </c>
    </row>
    <row r="64" spans="1:12" ht="12.75">
      <c r="A64" s="213"/>
      <c r="B64" s="108" t="str">
        <f>Bodování!C91</f>
        <v>Puškášová Gabriela</v>
      </c>
      <c r="C64" s="108" t="str">
        <f>Bodování!$C$89</f>
        <v>1. ZŠ Nové Město na Mor.</v>
      </c>
      <c r="D64" s="110">
        <f>Bodování!F91</f>
        <v>922</v>
      </c>
      <c r="E64" s="181">
        <f>Bodování!H91</f>
        <v>9.5</v>
      </c>
      <c r="F64" s="17">
        <f>Bodování!J91</f>
        <v>2</v>
      </c>
      <c r="G64" s="26" t="s">
        <v>24</v>
      </c>
      <c r="H64" s="112">
        <f>Bodování!L91</f>
        <v>26.41</v>
      </c>
      <c r="I64" s="120">
        <f>Bodování!$N91</f>
        <v>105</v>
      </c>
      <c r="J64" s="120">
        <f>Bodování!$P91</f>
        <v>0</v>
      </c>
      <c r="K64" s="121">
        <f>Bodování!$R91</f>
        <v>23.5</v>
      </c>
      <c r="L64" s="124">
        <f t="shared" si="1"/>
        <v>58</v>
      </c>
    </row>
    <row r="65" spans="1:12" ht="12.75">
      <c r="A65" s="213"/>
      <c r="B65" s="106" t="str">
        <f>Bodování!$C42</f>
        <v>Vičarová Eliška</v>
      </c>
      <c r="C65" s="105" t="str">
        <f>Bodování!$C$40</f>
        <v>ZŠ T.G.M. Bystřice n. P.</v>
      </c>
      <c r="D65" s="109">
        <f>Bodování!$F42</f>
        <v>918</v>
      </c>
      <c r="E65" s="116">
        <f>Bodování!H42</f>
        <v>10.2</v>
      </c>
      <c r="F65" s="114">
        <f>Bodování!$J42</f>
        <v>2</v>
      </c>
      <c r="G65" s="113" t="s">
        <v>24</v>
      </c>
      <c r="H65" s="211">
        <f>Bodování!$L42</f>
        <v>21.09</v>
      </c>
      <c r="I65" s="120">
        <f>Bodování!$N42</f>
        <v>110</v>
      </c>
      <c r="J65" s="120">
        <f>Bodování!$P42</f>
        <v>0</v>
      </c>
      <c r="K65" s="121">
        <f>Bodování!$R42</f>
        <v>27</v>
      </c>
      <c r="L65" s="124">
        <f t="shared" si="1"/>
        <v>59</v>
      </c>
    </row>
    <row r="66" spans="1:12" ht="12.75">
      <c r="A66" s="213"/>
      <c r="B66" s="108" t="str">
        <f>Bodování!C85</f>
        <v>Hájková Tereza</v>
      </c>
      <c r="C66" s="108" t="str">
        <f>Bodování!$C$82</f>
        <v>Gymnázium Žďár n. S.</v>
      </c>
      <c r="D66" s="110">
        <f>Bodování!F85</f>
        <v>905</v>
      </c>
      <c r="E66" s="181">
        <f>Bodování!H85</f>
        <v>9.9</v>
      </c>
      <c r="F66" s="17">
        <f>Bodování!J85</f>
        <v>2</v>
      </c>
      <c r="G66" s="26" t="s">
        <v>24</v>
      </c>
      <c r="H66" s="112">
        <f>Bodování!L85</f>
        <v>32.48</v>
      </c>
      <c r="I66" s="120">
        <f>Bodování!$N85</f>
        <v>0</v>
      </c>
      <c r="J66" s="120">
        <f>Bodování!$P85</f>
        <v>341</v>
      </c>
      <c r="K66" s="121">
        <f>Bodování!$R85</f>
        <v>33.5</v>
      </c>
      <c r="L66" s="124">
        <f t="shared" si="1"/>
        <v>60</v>
      </c>
    </row>
    <row r="67" spans="1:12" ht="12.75">
      <c r="A67" s="213"/>
      <c r="B67" s="106" t="str">
        <f>Bodování!$C59</f>
        <v>Bauerová Aneta</v>
      </c>
      <c r="C67" s="105" t="str">
        <f>Bodování!$C$54</f>
        <v>ZŠ Nádražní Bystřice n. P.</v>
      </c>
      <c r="D67" s="109">
        <f>Bodování!$F59</f>
        <v>886</v>
      </c>
      <c r="E67" s="116">
        <f>Bodování!H59</f>
        <v>9.2</v>
      </c>
      <c r="F67" s="114">
        <f>Bodování!$J59</f>
        <v>2</v>
      </c>
      <c r="G67" s="113" t="s">
        <v>24</v>
      </c>
      <c r="H67" s="211">
        <f>Bodování!$L59</f>
        <v>34.86</v>
      </c>
      <c r="I67" s="120">
        <f>Bodování!$N59</f>
        <v>0</v>
      </c>
      <c r="J67" s="120">
        <f>Bodování!$P59</f>
        <v>314</v>
      </c>
      <c r="K67" s="121">
        <f>Bodování!$R59</f>
        <v>25</v>
      </c>
      <c r="L67" s="124">
        <f t="shared" si="1"/>
        <v>61</v>
      </c>
    </row>
    <row r="68" spans="1:12" ht="12.75">
      <c r="A68" s="213"/>
      <c r="B68" s="106" t="str">
        <f>Bodování!$C56</f>
        <v>Šejnohová Nikola</v>
      </c>
      <c r="C68" s="105" t="str">
        <f>Bodování!$C$54</f>
        <v>ZŠ Nádražní Bystřice n. P.</v>
      </c>
      <c r="D68" s="109">
        <f>Bodování!$F56</f>
        <v>780</v>
      </c>
      <c r="E68" s="208">
        <f>Bodování!H56</f>
        <v>10.3</v>
      </c>
      <c r="F68" s="19">
        <f>Bodování!$J56</f>
        <v>2</v>
      </c>
      <c r="G68" s="26" t="s">
        <v>24</v>
      </c>
      <c r="H68" s="27">
        <f>Bodování!$L56</f>
        <v>33.01</v>
      </c>
      <c r="I68" s="120">
        <f>Bodování!$N56</f>
        <v>110</v>
      </c>
      <c r="J68" s="120">
        <f>Bodování!$P56</f>
        <v>0</v>
      </c>
      <c r="K68" s="121">
        <f>Bodování!$R56</f>
        <v>26</v>
      </c>
      <c r="L68" s="124">
        <f t="shared" si="1"/>
        <v>62</v>
      </c>
    </row>
    <row r="69" spans="1:12" ht="12.75">
      <c r="A69" s="213"/>
      <c r="B69" s="106" t="str">
        <f>Bodování!$C57</f>
        <v>Pokorná Helena</v>
      </c>
      <c r="C69" s="105" t="str">
        <f>Bodování!$C$54</f>
        <v>ZŠ Nádražní Bystřice n. P.</v>
      </c>
      <c r="D69" s="109">
        <f>Bodování!$F57</f>
        <v>715</v>
      </c>
      <c r="E69" s="116">
        <f>Bodování!H57</f>
        <v>9.7</v>
      </c>
      <c r="F69" s="114">
        <f>Bodování!$J57</f>
        <v>2</v>
      </c>
      <c r="G69" s="113" t="s">
        <v>24</v>
      </c>
      <c r="H69" s="211">
        <f>Bodování!$L57</f>
        <v>39.54</v>
      </c>
      <c r="I69" s="120">
        <f>Bodování!$N57</f>
        <v>0</v>
      </c>
      <c r="J69" s="120">
        <f>Bodování!$P57</f>
        <v>335</v>
      </c>
      <c r="K69" s="121">
        <f>Bodování!$R57</f>
        <v>19</v>
      </c>
      <c r="L69" s="124">
        <f t="shared" si="1"/>
        <v>63</v>
      </c>
    </row>
    <row r="70" spans="1:12" ht="12.75" hidden="1">
      <c r="A70" s="212"/>
      <c r="B70" s="106">
        <f>Bodování!$C10</f>
        <v>0</v>
      </c>
      <c r="C70" s="105" t="str">
        <f>Bodování!$C$5</f>
        <v>ZŠ Švermova Žďár n. S.</v>
      </c>
      <c r="D70" s="109">
        <f>Bodování!$F10</f>
        <v>0</v>
      </c>
      <c r="E70" s="208">
        <f>Bodování!H10</f>
        <v>0</v>
      </c>
      <c r="F70" s="19">
        <f>Bodování!$J10</f>
        <v>0</v>
      </c>
      <c r="G70" s="26" t="s">
        <v>24</v>
      </c>
      <c r="H70" s="27">
        <f>Bodování!$L10</f>
        <v>0</v>
      </c>
      <c r="I70" s="120">
        <f>Bodování!$N10</f>
        <v>0</v>
      </c>
      <c r="J70" s="120">
        <f>Bodování!$P10</f>
        <v>0</v>
      </c>
      <c r="K70" s="121">
        <f>Bodování!$R10</f>
        <v>0</v>
      </c>
      <c r="L70" s="124" t="str">
        <f t="shared" si="1"/>
        <v>NEV</v>
      </c>
    </row>
    <row r="71" spans="1:12" ht="12.75" hidden="1">
      <c r="A71" s="104"/>
      <c r="B71" s="106">
        <f>Bodování!$C45</f>
        <v>0</v>
      </c>
      <c r="C71" s="105" t="str">
        <f>Bodování!$C$40</f>
        <v>ZŠ T.G.M. Bystřice n. P.</v>
      </c>
      <c r="D71" s="109">
        <f>Bodování!$F45</f>
        <v>0</v>
      </c>
      <c r="E71" s="116">
        <f>Bodování!H45</f>
        <v>0</v>
      </c>
      <c r="F71" s="114">
        <f>Bodování!$J45</f>
        <v>0</v>
      </c>
      <c r="G71" s="113" t="s">
        <v>24</v>
      </c>
      <c r="H71" s="211">
        <f>Bodování!$L45</f>
        <v>0</v>
      </c>
      <c r="I71" s="120">
        <f>Bodování!$N45</f>
        <v>0</v>
      </c>
      <c r="J71" s="120">
        <f>Bodování!$P45</f>
        <v>0</v>
      </c>
      <c r="K71" s="121">
        <f>Bodování!$R45</f>
        <v>0</v>
      </c>
      <c r="L71" s="124" t="str">
        <f aca="true" t="shared" si="2" ref="L71:L81">IF(D71=0,"NEV",(RANK(D71,$D$7:$D$81)))</f>
        <v>NEV</v>
      </c>
    </row>
    <row r="72" spans="1:12" ht="12.75" hidden="1">
      <c r="A72" s="104"/>
      <c r="B72" s="108" t="str">
        <f>Bodování!C97</f>
        <v>A06</v>
      </c>
      <c r="C72" s="108" t="str">
        <f>Bodování!$C$96</f>
        <v>XXX</v>
      </c>
      <c r="D72" s="110">
        <f>Bodování!F97</f>
        <v>0</v>
      </c>
      <c r="E72" s="181">
        <f>Bodování!H97</f>
        <v>0</v>
      </c>
      <c r="F72" s="17">
        <f>Bodování!J97</f>
        <v>0</v>
      </c>
      <c r="G72" s="26" t="s">
        <v>24</v>
      </c>
      <c r="H72" s="112">
        <f>Bodování!L97</f>
        <v>0</v>
      </c>
      <c r="I72" s="120">
        <f>Bodování!$N97</f>
        <v>0</v>
      </c>
      <c r="J72" s="120">
        <f>Bodování!$P97</f>
        <v>0</v>
      </c>
      <c r="K72" s="121">
        <f>Bodování!$R97</f>
        <v>0</v>
      </c>
      <c r="L72" s="124" t="str">
        <f t="shared" si="2"/>
        <v>NEV</v>
      </c>
    </row>
    <row r="73" spans="1:12" ht="12.75" hidden="1">
      <c r="A73" s="104"/>
      <c r="B73" s="108" t="str">
        <f>Bodování!C98</f>
        <v>A07</v>
      </c>
      <c r="C73" s="108" t="str">
        <f>Bodování!$C$96</f>
        <v>XXX</v>
      </c>
      <c r="D73" s="110">
        <f>Bodování!F98</f>
        <v>0</v>
      </c>
      <c r="E73" s="117">
        <f>Bodování!H98</f>
        <v>0</v>
      </c>
      <c r="F73" s="179">
        <f>Bodování!J98</f>
        <v>0</v>
      </c>
      <c r="G73" s="113" t="s">
        <v>24</v>
      </c>
      <c r="H73" s="180">
        <f>Bodování!L98</f>
        <v>0</v>
      </c>
      <c r="I73" s="120">
        <f>Bodování!$N98</f>
        <v>0</v>
      </c>
      <c r="J73" s="120">
        <f>Bodování!$P98</f>
        <v>0</v>
      </c>
      <c r="K73" s="121">
        <f>Bodování!$R98</f>
        <v>0</v>
      </c>
      <c r="L73" s="124" t="str">
        <f t="shared" si="2"/>
        <v>NEV</v>
      </c>
    </row>
    <row r="74" spans="1:12" ht="12.75" hidden="1">
      <c r="A74" s="104"/>
      <c r="B74" s="108" t="str">
        <f>Bodování!C99</f>
        <v>A08</v>
      </c>
      <c r="C74" s="108" t="str">
        <f>Bodování!$C$96</f>
        <v>XXX</v>
      </c>
      <c r="D74" s="110">
        <f>Bodování!F99</f>
        <v>0</v>
      </c>
      <c r="E74" s="181">
        <f>Bodování!H99</f>
        <v>0</v>
      </c>
      <c r="F74" s="17">
        <f>Bodování!J99</f>
        <v>0</v>
      </c>
      <c r="G74" s="26" t="s">
        <v>24</v>
      </c>
      <c r="H74" s="112">
        <f>Bodování!L99</f>
        <v>0</v>
      </c>
      <c r="I74" s="120">
        <f>Bodování!$N99</f>
        <v>0</v>
      </c>
      <c r="J74" s="120">
        <f>Bodování!$P99</f>
        <v>0</v>
      </c>
      <c r="K74" s="121">
        <f>Bodování!$R99</f>
        <v>0</v>
      </c>
      <c r="L74" s="124" t="str">
        <f t="shared" si="2"/>
        <v>NEV</v>
      </c>
    </row>
    <row r="75" spans="1:12" ht="12.75" hidden="1">
      <c r="A75" s="104"/>
      <c r="B75" s="108" t="str">
        <f>Bodování!C100</f>
        <v>A09</v>
      </c>
      <c r="C75" s="108" t="str">
        <f>Bodování!$C$96</f>
        <v>XXX</v>
      </c>
      <c r="D75" s="110">
        <f>Bodování!F100</f>
        <v>0</v>
      </c>
      <c r="E75" s="117">
        <f>Bodování!H100</f>
        <v>0</v>
      </c>
      <c r="F75" s="179">
        <f>Bodování!J100</f>
        <v>0</v>
      </c>
      <c r="G75" s="113" t="s">
        <v>24</v>
      </c>
      <c r="H75" s="180">
        <f>Bodování!L100</f>
        <v>0</v>
      </c>
      <c r="I75" s="120">
        <f>Bodování!$N100</f>
        <v>0</v>
      </c>
      <c r="J75" s="120">
        <f>Bodování!$P100</f>
        <v>0</v>
      </c>
      <c r="K75" s="121">
        <f>Bodování!$R100</f>
        <v>0</v>
      </c>
      <c r="L75" s="124" t="str">
        <f t="shared" si="2"/>
        <v>NEV</v>
      </c>
    </row>
    <row r="76" spans="1:12" ht="12.75" hidden="1">
      <c r="A76" s="104"/>
      <c r="B76" s="108" t="str">
        <f>Bodování!C101</f>
        <v>A10</v>
      </c>
      <c r="C76" s="108" t="str">
        <f>Bodování!$C$96</f>
        <v>XXX</v>
      </c>
      <c r="D76" s="110">
        <f>Bodování!F101</f>
        <v>0</v>
      </c>
      <c r="E76" s="181">
        <f>Bodování!H101</f>
        <v>0</v>
      </c>
      <c r="F76" s="17">
        <f>Bodování!J101</f>
        <v>0</v>
      </c>
      <c r="G76" s="26" t="s">
        <v>24</v>
      </c>
      <c r="H76" s="112">
        <f>Bodování!L101</f>
        <v>0</v>
      </c>
      <c r="I76" s="120">
        <f>Bodování!$N101</f>
        <v>0</v>
      </c>
      <c r="J76" s="120">
        <f>Bodování!$P101</f>
        <v>0</v>
      </c>
      <c r="K76" s="121">
        <f>Bodování!$R101</f>
        <v>0</v>
      </c>
      <c r="L76" s="124" t="str">
        <f t="shared" si="2"/>
        <v>NEV</v>
      </c>
    </row>
    <row r="77" spans="1:12" ht="12.75" hidden="1">
      <c r="A77" s="104"/>
      <c r="B77" s="108" t="str">
        <f>Bodování!C104</f>
        <v>A06</v>
      </c>
      <c r="C77" s="108" t="str">
        <f>Bodování!$C$103</f>
        <v>XXX</v>
      </c>
      <c r="D77" s="110">
        <f>Bodování!F104</f>
        <v>0</v>
      </c>
      <c r="E77" s="117">
        <f>Bodování!H104</f>
        <v>0</v>
      </c>
      <c r="F77" s="179">
        <f>Bodování!J104</f>
        <v>0</v>
      </c>
      <c r="G77" s="113" t="s">
        <v>24</v>
      </c>
      <c r="H77" s="180">
        <f>Bodování!L104</f>
        <v>0</v>
      </c>
      <c r="I77" s="120">
        <f>Bodování!$N104</f>
        <v>0</v>
      </c>
      <c r="J77" s="120">
        <f>Bodování!$P104</f>
        <v>0</v>
      </c>
      <c r="K77" s="121">
        <f>Bodování!$R104</f>
        <v>0</v>
      </c>
      <c r="L77" s="124" t="str">
        <f t="shared" si="2"/>
        <v>NEV</v>
      </c>
    </row>
    <row r="78" spans="1:12" ht="12.75" hidden="1">
      <c r="A78" s="104"/>
      <c r="B78" s="108" t="str">
        <f>Bodování!C105</f>
        <v>A07</v>
      </c>
      <c r="C78" s="108" t="str">
        <f>Bodování!$C$103</f>
        <v>XXX</v>
      </c>
      <c r="D78" s="110">
        <f>Bodování!F105</f>
        <v>0</v>
      </c>
      <c r="E78" s="178">
        <f>Bodování!H105</f>
        <v>0</v>
      </c>
      <c r="F78" s="17">
        <f>Bodování!J105</f>
        <v>0</v>
      </c>
      <c r="G78" s="26" t="s">
        <v>24</v>
      </c>
      <c r="H78" s="112">
        <f>Bodování!L105</f>
        <v>0</v>
      </c>
      <c r="I78" s="120">
        <f>Bodování!$N105</f>
        <v>0</v>
      </c>
      <c r="J78" s="120">
        <f>Bodování!$P105</f>
        <v>0</v>
      </c>
      <c r="K78" s="121">
        <f>Bodování!$R105</f>
        <v>0</v>
      </c>
      <c r="L78" s="124" t="str">
        <f t="shared" si="2"/>
        <v>NEV</v>
      </c>
    </row>
    <row r="79" spans="1:12" ht="12.75" hidden="1">
      <c r="A79" s="104"/>
      <c r="B79" s="108" t="str">
        <f>Bodování!C106</f>
        <v>A08</v>
      </c>
      <c r="C79" s="108" t="str">
        <f>Bodování!$C$103</f>
        <v>XXX</v>
      </c>
      <c r="D79" s="110">
        <f>Bodování!F106</f>
        <v>0</v>
      </c>
      <c r="E79" s="117">
        <f>Bodování!H106</f>
        <v>0</v>
      </c>
      <c r="F79" s="182">
        <f>Bodování!J106</f>
        <v>0</v>
      </c>
      <c r="G79" s="113" t="s">
        <v>24</v>
      </c>
      <c r="H79" s="180">
        <f>Bodování!L106</f>
        <v>0</v>
      </c>
      <c r="I79" s="120">
        <f>Bodování!$N106</f>
        <v>0</v>
      </c>
      <c r="J79" s="120">
        <f>Bodování!$P106</f>
        <v>0</v>
      </c>
      <c r="K79" s="121">
        <f>Bodování!$R106</f>
        <v>0</v>
      </c>
      <c r="L79" s="124" t="str">
        <f t="shared" si="2"/>
        <v>NEV</v>
      </c>
    </row>
    <row r="80" spans="1:12" ht="12.75" hidden="1">
      <c r="A80" s="104"/>
      <c r="B80" s="108" t="str">
        <f>Bodování!C107</f>
        <v>A09</v>
      </c>
      <c r="C80" s="108" t="str">
        <f>Bodování!$C$103</f>
        <v>XXX</v>
      </c>
      <c r="D80" s="110">
        <f>Bodování!F107</f>
        <v>0</v>
      </c>
      <c r="E80" s="177">
        <f>Bodování!H107</f>
        <v>0</v>
      </c>
      <c r="F80" s="17">
        <f>Bodování!J107</f>
        <v>0</v>
      </c>
      <c r="G80" s="26" t="s">
        <v>24</v>
      </c>
      <c r="H80" s="112">
        <f>Bodování!L107</f>
        <v>0</v>
      </c>
      <c r="I80" s="120">
        <f>Bodování!$N107</f>
        <v>0</v>
      </c>
      <c r="J80" s="120">
        <f>Bodování!$P107</f>
        <v>0</v>
      </c>
      <c r="K80" s="121">
        <f>Bodování!$R107</f>
        <v>0</v>
      </c>
      <c r="L80" s="124" t="str">
        <f t="shared" si="2"/>
        <v>NEV</v>
      </c>
    </row>
    <row r="81" spans="1:12" ht="12.75" hidden="1">
      <c r="A81" s="104"/>
      <c r="B81" s="108" t="str">
        <f>Bodování!C108</f>
        <v>A10</v>
      </c>
      <c r="C81" s="108" t="str">
        <f>Bodování!$C$103</f>
        <v>XXX</v>
      </c>
      <c r="D81" s="110">
        <f>Bodování!F108</f>
        <v>0</v>
      </c>
      <c r="E81" s="117">
        <f>Bodování!H108</f>
        <v>0</v>
      </c>
      <c r="F81" s="179">
        <f>Bodování!J108</f>
        <v>0</v>
      </c>
      <c r="G81" s="113" t="s">
        <v>24</v>
      </c>
      <c r="H81" s="180">
        <f>Bodování!L108</f>
        <v>0</v>
      </c>
      <c r="I81" s="120">
        <f>Bodování!$N108</f>
        <v>0</v>
      </c>
      <c r="J81" s="120">
        <f>Bodování!$P108</f>
        <v>0</v>
      </c>
      <c r="K81" s="121">
        <f>Bodování!$R108</f>
        <v>0</v>
      </c>
      <c r="L81" s="124" t="str">
        <f t="shared" si="2"/>
        <v>NEV</v>
      </c>
    </row>
  </sheetData>
  <sheetProtection/>
  <mergeCells count="1">
    <mergeCell ref="F6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Jana</cp:lastModifiedBy>
  <cp:lastPrinted>2016-06-02T11:09:11Z</cp:lastPrinted>
  <dcterms:created xsi:type="dcterms:W3CDTF">2004-05-04T09:41:28Z</dcterms:created>
  <dcterms:modified xsi:type="dcterms:W3CDTF">2016-06-06T18:17:21Z</dcterms:modified>
  <cp:category/>
  <cp:version/>
  <cp:contentType/>
  <cp:contentStatus/>
</cp:coreProperties>
</file>